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приложение 1.1" sheetId="1" r:id="rId1"/>
    <sheet name="приложение 1.2" sheetId="2" r:id="rId2"/>
    <sheet name="приложение 1.3" sheetId="3" r:id="rId3"/>
    <sheet name="приложение 2.1" sheetId="4" r:id="rId4"/>
    <sheet name="приложение 2.2" sheetId="5" r:id="rId5"/>
    <sheet name="приложение 3.1" sheetId="6" r:id="rId6"/>
    <sheet name="приложение 3.2" sheetId="7" r:id="rId7"/>
    <sheet name="приложение 4.1" sheetId="8" r:id="rId8"/>
    <sheet name="приложение 4.2" sheetId="9" r:id="rId9"/>
    <sheet name="приложение 4.3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<sst xmlns="http://schemas.openxmlformats.org/spreadsheetml/2006/main" count="13905" uniqueCount="934">
  <si>
    <t>Остаточная 
стоимость 
объекта
на 01.01.2017г., 
млн. 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</si>
  <si>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</si>
  <si>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</si>
  <si>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</si>
  <si>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</si>
  <si>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</si>
  <si>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</si>
  <si>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</si>
  <si>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</si>
  <si>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</si>
  <si>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</si>
  <si>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</si>
  <si>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</si>
  <si>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</si>
  <si>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</si>
  <si>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</si>
  <si>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</si>
  <si>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</si>
  <si>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</si>
  <si>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</si>
  <si>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</si>
  <si>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</si>
  <si>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</si>
  <si>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</si>
  <si>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г.Радужный  ХМАО-Югра</t>
  </si>
  <si>
    <t>г. Радужный, 8 мкр.</t>
  </si>
  <si>
    <t>-</t>
  </si>
  <si>
    <t>Энергосбережение и повышение энергетической эффективности системы электроснабжения  потребителей</t>
  </si>
  <si>
    <t>моральный износ опор линии электропередач</t>
  </si>
  <si>
    <t xml:space="preserve">Решение Думы города Радужный № 250 от 22.02.2012г. </t>
  </si>
  <si>
    <t>г.Радужный, Южная промзона</t>
  </si>
  <si>
    <t xml:space="preserve"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 </t>
  </si>
  <si>
    <t>уменьшение времени срабатывания (откл.) аппаратов защиты в случаи возникновения не нормальных режимов работы в энергосистеме</t>
  </si>
  <si>
    <t>Приказ Минэнерго РФ от 19 июня 2003 г. № 229 “Об утв. Правил технической эксплуатации электрических станций и сетей РФ” (Глава 1.1, 1.6)</t>
  </si>
  <si>
    <t>Нижневартовский р-он</t>
  </si>
  <si>
    <t>снижение потерь в электрической сети, увеличение технико-экономических показателей</t>
  </si>
  <si>
    <t>выполнение обязательств по обеспечению бесперебойного и надежного электроснабжения  потребителей электрической энергии</t>
  </si>
  <si>
    <t>Единые нормы амортизационных отчислений на полное восстановление основных фондов от 22.10.1990г. № 1072</t>
  </si>
  <si>
    <t>г. Радужный,  6 мкр.</t>
  </si>
  <si>
    <r>
      <t xml:space="preserve">г. Радужный, </t>
    </r>
    <r>
      <rPr>
        <sz val="12"/>
        <rFont val="Times New Roman"/>
        <family val="1"/>
      </rPr>
      <t>Северо-западная коммунальная зона</t>
    </r>
  </si>
  <si>
    <t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</t>
  </si>
  <si>
    <t>г. Радужный, 10 мкр.</t>
  </si>
  <si>
    <t xml:space="preserve">недопущение ограничения потребления электрической энергии, надлежащее исполнение своих обязательств перед потребителями </t>
  </si>
  <si>
    <t>удовлетворение спроса на электрическую энергию потребителей, создание оптимальной схемы электроснабжения</t>
  </si>
  <si>
    <t>Гражданский кодекс РФ (пункт 3, ст.541, глава 30), Федеральный закон от 26 марта 2003г. № 35-ФЗ «Об электроэнергетике» (статья 6, глава 2)</t>
  </si>
  <si>
    <t>г. Радужный, Южный мкр.</t>
  </si>
  <si>
    <t>г. Радужный, 2 мкр</t>
  </si>
  <si>
    <t>сохранение кольцевой схемы электроснабжения, уменьшение времени перерыва электроснабжения в случаи возникновения аварийной ситуации в энергосистеме</t>
  </si>
  <si>
    <t xml:space="preserve">выполнение ремонтных работ на объектах  эл.сетевого хозяйства без отключения потребителей, надежное и бесперебойное электроснабжение </t>
  </si>
  <si>
    <t>г. Радужный, 4 мкр.</t>
  </si>
  <si>
    <t>г. Радужный,  5 мкр.</t>
  </si>
  <si>
    <t>г. Радужный,  Южная промзона</t>
  </si>
  <si>
    <t xml:space="preserve">г. Радужный,  </t>
  </si>
  <si>
    <t>Энергосбережение и повышение энергетической эффективности системы электроснабжения города</t>
  </si>
  <si>
    <t>перенос существующей линии электропередач из территории подпадающей под застройку</t>
  </si>
  <si>
    <t>1 мкр.</t>
  </si>
  <si>
    <t>3 мкр.</t>
  </si>
  <si>
    <t>УМСАП по ООГХ</t>
  </si>
  <si>
    <t>Аэропорт</t>
  </si>
  <si>
    <t>5 мкр.</t>
  </si>
  <si>
    <t>7 мкр.</t>
  </si>
  <si>
    <t>г. Радужный,  территория СОНТ «Здоровье»</t>
  </si>
  <si>
    <t>г. Радужный, 2 мкр.</t>
  </si>
  <si>
    <t>г. Радужный, 3 мкр.</t>
  </si>
  <si>
    <t>г. Радужный, 7 мкр.</t>
  </si>
  <si>
    <t>р-он поселка Зумрад</t>
  </si>
  <si>
    <t>г.Радужный, мкр. Южный</t>
  </si>
  <si>
    <t>Район базы ОАО «РГЭС»</t>
  </si>
  <si>
    <t>пос. Зумрад</t>
  </si>
  <si>
    <t xml:space="preserve"> Район ВОЗ-5000 УП «ГВК»</t>
  </si>
  <si>
    <t>преодоление тенденции старения силового оборудования, использование нового оборудования с передовыми технологиями</t>
  </si>
  <si>
    <t>повышение надежности электроснабжения, снижение потерь электрической энергии</t>
  </si>
  <si>
    <t>Район базы ОАО «ВНСС»</t>
  </si>
  <si>
    <t xml:space="preserve">4 мкр. </t>
  </si>
  <si>
    <t>мкр. Южный</t>
  </si>
  <si>
    <t>22 мкр.</t>
  </si>
  <si>
    <t>2 мкр.</t>
  </si>
  <si>
    <t>повышение надежности электроснабжения  1 и 2го мкр.</t>
  </si>
  <si>
    <t>обновление устаревшего парка спецтранспорта</t>
  </si>
  <si>
    <t>подтверждается отчетом по основным средствам ОАО "РГЭС"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</si>
  <si>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</si>
  <si>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</si>
  <si>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01.01.2017г.</t>
  </si>
  <si>
    <t>15.01.2017г.</t>
  </si>
  <si>
    <t>16.01.2017г.</t>
  </si>
  <si>
    <t>16.02.2017г.</t>
  </si>
  <si>
    <t>17.02.2017г.</t>
  </si>
  <si>
    <t>17.03.2017г.</t>
  </si>
  <si>
    <t>01.01.2018г.</t>
  </si>
  <si>
    <t>15.01.2018г.</t>
  </si>
  <si>
    <t>16.01.2018г.</t>
  </si>
  <si>
    <t>16.02.2018г.</t>
  </si>
  <si>
    <t>17.02.2018г.</t>
  </si>
  <si>
    <t>17.03.2018г.</t>
  </si>
  <si>
    <t>01.02.2018г.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</si>
  <si>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6кВ ф. 2 ПС 220/110/35/6кВ "Варьеган"</t>
    </r>
  </si>
  <si>
    <t>ВЛ 6кВ ф. 2 ПС 220/110/35/6кВ "Варьеган"</t>
  </si>
  <si>
    <t>15.02.2018г.</t>
  </si>
  <si>
    <t>16.04.2018г.</t>
  </si>
  <si>
    <t>17.04.2018г.</t>
  </si>
  <si>
    <t>25.05.2018г.</t>
  </si>
  <si>
    <t>01.01.2019г.</t>
  </si>
  <si>
    <t>15.01.2019г.</t>
  </si>
  <si>
    <t>16.01.2019г.</t>
  </si>
  <si>
    <t>16.02.2019г.</t>
  </si>
  <si>
    <t>17.02.2019г.</t>
  </si>
  <si>
    <t>17.03.2019г.</t>
  </si>
  <si>
    <t>01.03.2019г.</t>
  </si>
  <si>
    <r>
      <t xml:space="preserve">Наименование инвестиционного объекта: </t>
    </r>
    <r>
      <rPr>
        <u val="single"/>
        <sz val="12"/>
        <rFont val="Times New Roman"/>
        <family val="1"/>
      </rPr>
      <t>Спецтехника</t>
    </r>
  </si>
  <si>
    <t xml:space="preserve">Ввод трансформаторной мощности - 40,63 МВА. </t>
  </si>
  <si>
    <t>Ввод линий электропередач – 10,48 км.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</si>
  <si>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</si>
  <si>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</si>
  <si>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Приложение  № 3.1</t>
  </si>
  <si>
    <t>к приказу Минэнерго России</t>
  </si>
  <si>
    <t>от «___»________2010 г. №____</t>
  </si>
  <si>
    <t>Укрупненный сетевой график выполнения инвестиционной программы</t>
  </si>
  <si>
    <t>ОАО "РГЭС" г.Радужный на период 2017-2019гг.</t>
  </si>
  <si>
    <t xml:space="preserve">                         Добровольский К.А.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</si>
  <si>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ВЛ-35кВ ф.ф. 1,3 ПС 110/35/10кВ «Радужная» </t>
    </r>
  </si>
  <si>
    <r>
      <t xml:space="preserve">по состоянию на </t>
    </r>
    <r>
      <rPr>
        <u val="single"/>
        <sz val="12"/>
        <rFont val="Times New Roman"/>
        <family val="1"/>
      </rPr>
      <t xml:space="preserve"> 25 февраля 2016г.</t>
    </r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</si>
  <si>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</si>
  <si>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</si>
  <si>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</si>
  <si>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</si>
  <si>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</si>
  <si>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</si>
  <si>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</si>
  <si>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</si>
  <si>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Получение заявки на ТП</t>
  </si>
  <si>
    <t>не требуется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</si>
  <si>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</si>
  <si>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</si>
  <si>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</si>
  <si>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</si>
  <si>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</si>
  <si>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</si>
  <si>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</si>
  <si>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11.01.2017г.</t>
  </si>
  <si>
    <t>31.10.2017г.</t>
  </si>
  <si>
    <t>Получение правоустанавливающих документов для выделения земельного участка под строительство</t>
  </si>
  <si>
    <t>2.3.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</si>
  <si>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</si>
  <si>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</si>
  <si>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</si>
  <si>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</si>
  <si>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28.02.2017г.</t>
  </si>
  <si>
    <t>3.3.</t>
  </si>
  <si>
    <t>Монтаж основного оборудования</t>
  </si>
  <si>
    <t>01.03.2017г.</t>
  </si>
  <si>
    <t>31.07.2017г.</t>
  </si>
  <si>
    <t>3.4.</t>
  </si>
  <si>
    <t>Пусконаладочные работы</t>
  </si>
  <si>
    <t>01.08.2017г.</t>
  </si>
  <si>
    <t>31.08.2017г.</t>
  </si>
  <si>
    <t>3.5.</t>
  </si>
  <si>
    <t>Завершение строительства</t>
  </si>
  <si>
    <t>01.09.2017г.</t>
  </si>
  <si>
    <t>30.09.2017г.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</si>
  <si>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</si>
  <si>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</si>
  <si>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</si>
  <si>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</si>
  <si>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</si>
  <si>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</si>
  <si>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</si>
  <si>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</si>
  <si>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>Ввод в эксплуатацию объекта сетевого строительства</t>
  </si>
  <si>
    <t>* - заполняется в соответствии с приложением 3.2</t>
  </si>
  <si>
    <t>31.12.2017г.</t>
  </si>
  <si>
    <t>01.11.2017г.</t>
  </si>
  <si>
    <t>30.12.2017г.</t>
  </si>
  <si>
    <t>30.04.2017г.</t>
  </si>
  <si>
    <t>31.01.2017г.</t>
  </si>
  <si>
    <t>01.02.2017г.</t>
  </si>
  <si>
    <t>29.02.2017г.</t>
  </si>
  <si>
    <t>24.03.2017г.</t>
  </si>
  <si>
    <t>25.03.2017г.</t>
  </si>
  <si>
    <t>31.03.2017г.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</si>
  <si>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16 ПС 35/6кВ «Поселок»</t>
    </r>
  </si>
  <si>
    <t>01.10.2017г.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</si>
  <si>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16 КРУН Варьеган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</si>
  <si>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22 ПС 220/110/35/6кВ «Варьеган»</t>
    </r>
  </si>
  <si>
    <t>30.06.2017г.</t>
  </si>
  <si>
    <t>Сетевое строительство (реконструкция)  и пусконаладочные работы</t>
  </si>
  <si>
    <t>10.02.2017г.</t>
  </si>
  <si>
    <t>01.04.2017г.</t>
  </si>
  <si>
    <t>01.05.2017г.</t>
  </si>
  <si>
    <t>31.05.2017г.</t>
  </si>
  <si>
    <t>01.06.2017г.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</si>
  <si>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«Кирпичная»</t>
    </r>
  </si>
  <si>
    <t>10.01.2017г.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</si>
  <si>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«Рославльская»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</si>
  <si>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ТП-61</t>
    </r>
  </si>
  <si>
    <t>11.04.2017г.</t>
  </si>
  <si>
    <t>11.05.2017г.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</si>
  <si>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КТППН-139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</si>
  <si>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ТП-1001</t>
    </r>
  </si>
  <si>
    <t>15.04.2017г.</t>
  </si>
  <si>
    <t>16.04.2017г.</t>
  </si>
  <si>
    <t>15.05.2017г.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</si>
  <si>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ТП-1002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</si>
  <si>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КТПН-46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</si>
  <si>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</si>
  <si>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КТПН-148</t>
    </r>
  </si>
  <si>
    <t>20.01.2017г.</t>
  </si>
  <si>
    <t>21.01.2017г.</t>
  </si>
  <si>
    <t>21.02.2017г.</t>
  </si>
  <si>
    <t>22.02.2017г.</t>
  </si>
  <si>
    <t>26.03.2017г.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</si>
  <si>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КЛ-6кВ от ТП-25 до ТП-21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</si>
  <si>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ТП-42 до ВРУ-0,4кВ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</si>
  <si>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ТП-51 до ВРУ-0,4кВ ж.д. №19</t>
    </r>
  </si>
  <si>
    <t>ПБ-35</t>
  </si>
  <si>
    <t>У-35</t>
  </si>
  <si>
    <t>30.12.2018г.</t>
  </si>
  <si>
    <t>5 ТМГ</t>
  </si>
  <si>
    <t>АС-120/19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</si>
  <si>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ф. 211 ПС 110/35/10кВ «Промзона»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</si>
  <si>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ф. 4 ПС «Котельная-3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</si>
  <si>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ТП-51 до ВРУ-0,4кВ ж.д. №29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</si>
  <si>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ТП-63 до ВРУ-0,4кВ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</si>
  <si>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ТП-64 до ВРУ-0,4кВ ж.д. №5</t>
    </r>
  </si>
  <si>
    <t>11.01.2018г.</t>
  </si>
  <si>
    <t>30.04.2018г.</t>
  </si>
  <si>
    <t>21.01.2018г.</t>
  </si>
  <si>
    <t>21.02.2018г.</t>
  </si>
  <si>
    <t>22.02.2018г.</t>
  </si>
  <si>
    <t>21.03.2018г.</t>
  </si>
  <si>
    <t>22.03.2018г.</t>
  </si>
  <si>
    <t>31.03.2018г.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</si>
  <si>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ПС 35/10кВ "Город-3"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</si>
  <si>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6кВ ф. 8 ПС 35/6кВ "Поселок"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</si>
  <si>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"Котельная-3"</t>
    </r>
  </si>
  <si>
    <t>01.03.2018г.</t>
  </si>
  <si>
    <t>30.06.2018г.</t>
  </si>
  <si>
    <t>01.04.2018г.</t>
  </si>
  <si>
    <t>01.05.2018г.</t>
  </si>
  <si>
    <t>31.05.2018г.</t>
  </si>
  <si>
    <t>01.06.2018г.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</si>
  <si>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35/10/6кВ "ГТЭС"</t>
    </r>
  </si>
  <si>
    <t>Генеральный диретор ОАО "РГЭС"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</si>
  <si>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ПС 35/10кВ "Город-1"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</si>
  <si>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"Город-2"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</si>
  <si>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РП-1</t>
    </r>
  </si>
  <si>
    <t>01.10.2018г.</t>
  </si>
  <si>
    <t>01.07.2018г.</t>
  </si>
  <si>
    <t>31.07.2018г.</t>
  </si>
  <si>
    <t>01.08.2018г.</t>
  </si>
  <si>
    <t>01.09.2018г.</t>
  </si>
  <si>
    <t>02.09.2018г.</t>
  </si>
  <si>
    <t>30.09.2018г.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</si>
  <si>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</si>
  <si>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</si>
  <si>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РП-8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</si>
  <si>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ТП-51</t>
    </r>
  </si>
  <si>
    <t>31.12.2018г.</t>
  </si>
  <si>
    <t>30.10.2018г.</t>
  </si>
  <si>
    <t>01.11.2018г.</t>
  </si>
  <si>
    <t>01.12.2018г.</t>
  </si>
  <si>
    <t>02.12.2018г.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</si>
  <si>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</si>
  <si>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КТП-140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</si>
  <si>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ТП-141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</si>
  <si>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</si>
  <si>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КТПН-42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</si>
  <si>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КТПН-56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</si>
  <si>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КТПН-145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</si>
  <si>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ТП-26 до ж.д. №5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</si>
  <si>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ТП-32 до ж.д. №11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</si>
  <si>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ТП-71 до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</si>
  <si>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ТП-74 до ж.д. №18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</si>
  <si>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ТП-74 до ж.д. №27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</si>
  <si>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2,5 ПС 110/35/10кВ «Промзона»</t>
    </r>
  </si>
  <si>
    <t>11.01.2019г.</t>
  </si>
  <si>
    <t>31.03.2019г.</t>
  </si>
  <si>
    <t>21.01.2019г.</t>
  </si>
  <si>
    <t>22.01.2019г.</t>
  </si>
  <si>
    <t>21.02.2019г.</t>
  </si>
  <si>
    <t>22.02.2019г.</t>
  </si>
  <si>
    <t>21.03.2019г.</t>
  </si>
  <si>
    <t>22.03.2019г.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</si>
  <si>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3,6 ПС 110/35/10кВ «Промзона»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</si>
  <si>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2,4 ПС 110/35/10кВ «Радужная»</t>
    </r>
  </si>
  <si>
    <t>01.09.2019г.</t>
  </si>
  <si>
    <t>31.12.2019г.</t>
  </si>
  <si>
    <t>01.10.2019г.</t>
  </si>
  <si>
    <t>20.10.2019г.</t>
  </si>
  <si>
    <t>21.10.2019г.</t>
  </si>
  <si>
    <t>21.11.2019г.</t>
  </si>
  <si>
    <t>22.11.2019г.</t>
  </si>
  <si>
    <t>20.12.2019г.</t>
  </si>
  <si>
    <t>21.12.2019г.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</si>
  <si>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ф.ф. 101,201 ПС 110/35/10кВ «Радужная»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</si>
  <si>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 15 ПС 35/10кВ «Котельная-3»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</si>
  <si>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«Поселок»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</si>
  <si>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«Котельная-2»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</si>
  <si>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«Дачная»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</si>
  <si>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РП-2</t>
    </r>
  </si>
  <si>
    <t>01.04.2019г.</t>
  </si>
  <si>
    <t>01.07.2019г.</t>
  </si>
  <si>
    <t>11.04.2019г.</t>
  </si>
  <si>
    <t>15.04.2019г.</t>
  </si>
  <si>
    <t>16.04.2019г.</t>
  </si>
  <si>
    <t>16.05.2019г.</t>
  </si>
  <si>
    <t>17.05.2019г.</t>
  </si>
  <si>
    <t>16.06.2019г.</t>
  </si>
  <si>
    <t>17.06.2019г.</t>
  </si>
  <si>
    <t>30.06.2019г.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</si>
  <si>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</si>
  <si>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</si>
  <si>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РП-10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</si>
  <si>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ТП-42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</si>
  <si>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ТП-53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</si>
  <si>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КТПН-23</t>
    </r>
  </si>
  <si>
    <t>01.06.2019г.</t>
  </si>
  <si>
    <t>31.07.2019г.</t>
  </si>
  <si>
    <t>01.08.2019г.</t>
  </si>
  <si>
    <t>31.08.2019г.</t>
  </si>
  <si>
    <t>30.09.2019г.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</si>
  <si>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КТПН-31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</si>
  <si>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КТП-113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</si>
  <si>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</si>
  <si>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КТПН-119</t>
    </r>
  </si>
  <si>
    <t>ВЛ-10кВ ф. 211 ПС 110/35/10кВ «Промзона»</t>
  </si>
  <si>
    <t>ВЛ-10кВ ф. 4 ПС «Котельная-3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</si>
  <si>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</si>
  <si>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</si>
  <si>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ТП-11 до ж.д. №9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</si>
  <si>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РП-1 до ж.д. №14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</si>
  <si>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ТП-31 до ж.д. №17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</si>
  <si>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2КЛ-0,4кВ от ТП-33 до ж.д. №19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</si>
  <si>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КЛ-6кВ от ТП-12 до ТП-22</t>
    </r>
  </si>
  <si>
    <t xml:space="preserve">                         Добровольский А.М.</t>
  </si>
  <si>
    <t>Приложение  № 3.2</t>
  </si>
  <si>
    <t>I. 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</si>
  <si>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</si>
  <si>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</si>
  <si>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</si>
  <si>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Заключение договора на разработку проетной документации</t>
  </si>
  <si>
    <t>работа</t>
  </si>
  <si>
    <t>Приложение  № 2.1</t>
  </si>
  <si>
    <t>Общая характеристика инвестиционной программы</t>
  </si>
  <si>
    <t>Основные цели инвестиционной программы - обеспечение возможности подключения новых потребителей к электрическим сетям и дополнительного отбора  мощности существующим объектам в зоне деятельности ОАО «РГЭС» при условии сохранения надежности электроснабжения потребителей электрической энергии и мощности путем строительства, расширения,  модернизации объектов электросетевого хозяйства.</t>
  </si>
  <si>
    <t xml:space="preserve">В рамках реализации инвестиционной программы предусматривается решение следующих задач: </t>
  </si>
  <si>
    <t>Актуализация  прогнозируемого спроса на поставку мощности, технологических нагрузок. Реализация инвестиционных проектов по созданию дополнительных мощностей в целях удовлетворения спроса на электроэнергию;</t>
  </si>
  <si>
    <t>Поддержание в эксплуатационной готовности оборудования, необходимого для надежного, бесперебойного и качественного энергоснабжения потребителей, снижение износа основного технологического оборудования;</t>
  </si>
  <si>
    <t>Проведение мероприятий по снижению производственных издержек, в том числе за счет повышения эффективности работы оборудования, развития систем учёта потребляемых энергоресурсов;</t>
  </si>
  <si>
    <t>Приведение инфраструктуры Общества в соответствие современным требованиям;</t>
  </si>
  <si>
    <t>Поддержание антидиверсионной и антитеррористической защищённости энергообъектов;</t>
  </si>
  <si>
    <t xml:space="preserve">Обеспечение развития систем связи, телемеханики и передачи данных с целью повышения управляемости сетей и снижения времени реагирования на внештатные ситуации, развитие системы удаленного мониторинга и предупреждения аварийности  на  линейных и подстанционных объектах, дальнейшее развитие центров управления сетями. </t>
  </si>
  <si>
    <t>Объем реализации инвестиционной программы по годам:</t>
  </si>
  <si>
    <t>Параметр</t>
  </si>
  <si>
    <t>Освоение, млн. руб. без НДС</t>
  </si>
  <si>
    <t>Финансирование, млн. руб. с НДС</t>
  </si>
  <si>
    <t>Ввод в ОФ, млн. руб. без НДС</t>
  </si>
  <si>
    <t>Ввод, МВА</t>
  </si>
  <si>
    <t>Ввод, км</t>
  </si>
  <si>
    <t>Мероприятия инвестиционной программы в разрезе приоритетов</t>
  </si>
  <si>
    <t>Повышение надежности электроснабжения потребителей.</t>
  </si>
  <si>
    <t>Приоритетными направлениями в рамках мероприятий по повышению надежности являются:</t>
  </si>
  <si>
    <t>выполнение работ по реконструкции подстанционных и линейных объектов с большим физическим износом;</t>
  </si>
  <si>
    <t>выполнение работ по организации  систем связи, телемеханики и передачи данных в центр управления сетями, обеспечивающих мониторинг состояния объектов сети и снижение времени реагирования на внештатные ситуации;</t>
  </si>
  <si>
    <t>выполнение мероприятий по централизации управления аварийно-диспетчерскими службами бригадами;</t>
  </si>
  <si>
    <t>замена  изношенного и перегружаемого оборудования в «проблемных» точках при реализации мероприятий по подготовке к прохождению ОЗП.</t>
  </si>
  <si>
    <t xml:space="preserve">Программа технологического присоединения  заявителей. </t>
  </si>
  <si>
    <t xml:space="preserve">Основным приоритетом инвестирования является развитие электросетевого хозяйства ОАО «РГЭС», в целях обеспечения своевременного технологического присоединения заявителей. </t>
  </si>
  <si>
    <t xml:space="preserve">Развитие электросетевого хозяйства предприятия, снятие ограничений по доступу к электрическим сетям является благоприятным фактором для улучшения инвестиционного климата, стимулирования предпринимательской деятельности в городе Радужный. Задачей инвестиционной программы является  недопущение ухудшения условий доступа к сетям электроснабжения. В соответствии с Указом Президента Российской Федерации от 07.05.2012 №596, распоряжением Правительства Российской Федерации №1144-р от 30.12.2012 (в ред. Распоряжения правительства РФ от 09.08.2013 №1400)  предприятием  реализуется комплекс мероприятий по созданию благоприятных условий ведения малого и среднего бизнеса при подключении к электросетям. </t>
  </si>
  <si>
    <t>4.</t>
  </si>
  <si>
    <t>5.</t>
  </si>
  <si>
    <t>6.</t>
  </si>
  <si>
    <t>КРАТКОЕ ОПИСАНИЕ ПРОЕКТА ИНВЕСТИЦИОННОЙ ПРОГРАММЫ 
ОАО «РГЭС»  НА ПЕРИОД РЕАЛИЗАЦИИ 2017-2019 Г.Г.</t>
  </si>
  <si>
    <t xml:space="preserve">Инвестиционная программа на период реализации 2017 — 2019 годы для ОАО «РГЭС» имеет значимую роль в обновлении основных фондов для обеспечения потребителей качественной электроэнергией, а также для обеспечения надежного, экономически эффективного спроса на электрическую энергию. </t>
  </si>
  <si>
    <t>Инвестиционная программа открытого акционерного общества «Радужнинские городские электрические сети»  (далее - ОАО "РГЭС") на период реализации 2017-2019 годы разработана в соответствии с постановлением Правительства Российской Федерации  от 01 декабря 2009 года "Об  инвестиционных программах субъектов электроэнергетики", в формате согласно приказу Минэнерго России от 24 марта 2010года  № 114 "Об утверждении формы инвестиционной программы субъектов энергетики, в уставных капиталах которых участвует государство, и сетевых организаций".</t>
  </si>
  <si>
    <t>Основные параметры инвестиционной программы на период реализации 2017-2019 годы</t>
  </si>
  <si>
    <t xml:space="preserve">Объем капитальных вложений за период реализации 2017-2019 годы сформирован в сумме 317,9 млн. руб. без НДС. </t>
  </si>
  <si>
    <t>Итого 2017-2019</t>
  </si>
  <si>
    <t>Параметры финансирования проекта инвестиционной программы открытого акционерного общества «Радужнинские городские электрические сети» на период реализации 2017-2019 годы сформированы в объеме 375,1 млн. руб. с НДС.</t>
  </si>
  <si>
    <t xml:space="preserve">Основным показателем эффективности деятельности Общества является надежность работы энергосистемы, направленная на исключение аварийных ситуаций. На балансе ОАО «РГЭС» находятся электрические сети 0,4-10кВ и 35 кВ общей протяженностью 455 км и 186 распределительных пунктов и трансформаторных подстанций, по которым осуществляется транспортировка электрической энергии для жилых и общественных зданий, объектов городского хозяйства и объектов нефтедобычи. Износ оборудования объектов электросетевого хозяйства ОАО «РГЭС» составляет 46%. В 2017-2019 годах будут проведены работы по реконструкции и новому строительству объектов электросетевого хозяйства с целью разукрупнения существующих объектов электроэнергетики и восставновления основных фондов. </t>
  </si>
  <si>
    <t>Финансовый план на период реализации</t>
  </si>
  <si>
    <t>инвестиционной программы на 2017 - 2019 годы</t>
  </si>
  <si>
    <t>Открытого акционерного общества</t>
  </si>
  <si>
    <t>"Радужнинские городские электрические сети",</t>
  </si>
  <si>
    <t>Показатели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</si>
  <si>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</si>
  <si>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</si>
  <si>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</si>
  <si>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- услуги по передаче электрической энергии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</si>
  <si>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</si>
  <si>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</si>
  <si>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</si>
  <si>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</si>
  <si>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</si>
  <si>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</si>
  <si>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</si>
  <si>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</si>
  <si>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</si>
  <si>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 и сборы, всего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</si>
  <si>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</si>
  <si>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</si>
  <si>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</si>
  <si>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</si>
  <si>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</si>
  <si>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</si>
  <si>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</si>
  <si>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</si>
  <si>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</si>
  <si>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</si>
  <si>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</si>
  <si>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</si>
  <si>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</si>
  <si>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</si>
  <si>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</si>
  <si>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</si>
  <si>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</si>
  <si>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</si>
  <si>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</si>
  <si>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</si>
  <si>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</si>
  <si>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</si>
  <si>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</si>
  <si>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</si>
  <si>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</si>
  <si>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</si>
  <si>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</si>
  <si>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</si>
  <si>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</si>
  <si>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</si>
  <si>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</si>
  <si>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</si>
  <si>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</si>
  <si>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</si>
  <si>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</si>
  <si>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</si>
  <si>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</si>
  <si>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</si>
  <si>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</si>
  <si>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</si>
  <si>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</si>
  <si>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</si>
  <si>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</si>
  <si>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</si>
  <si>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</si>
  <si>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</si>
  <si>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</si>
  <si>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</si>
  <si>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</si>
  <si>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</si>
  <si>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</si>
  <si>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</si>
  <si>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</si>
  <si>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</si>
  <si>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</si>
  <si>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</si>
  <si>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</si>
  <si>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</si>
  <si>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</si>
  <si>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</si>
  <si>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</si>
  <si>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</si>
  <si>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</si>
  <si>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>Долг на конец периода</t>
  </si>
  <si>
    <t>Прогноз тарифов</t>
  </si>
  <si>
    <t>*заполняется ОГК/ТГК</t>
  </si>
  <si>
    <t>Приложение  № 4.2</t>
  </si>
  <si>
    <t>к инвестиционной программе</t>
  </si>
  <si>
    <t>ОАО "РГЭС" г.Радужный</t>
  </si>
  <si>
    <t>на 2017 — 2019 год</t>
  </si>
  <si>
    <t xml:space="preserve">
                                                                                           </t>
  </si>
  <si>
    <t>Источники финансирования</t>
  </si>
  <si>
    <t xml:space="preserve">Открытого акционерного общества </t>
  </si>
  <si>
    <t xml:space="preserve">Радужнинские городские электрические сети   </t>
  </si>
  <si>
    <t>(в прогнозных ценах соответствующих лет, млн рублей)</t>
  </si>
  <si>
    <t>№№</t>
  </si>
  <si>
    <t>Источник финансирования</t>
  </si>
  <si>
    <t xml:space="preserve">План 2017 года </t>
  </si>
  <si>
    <t xml:space="preserve">План 2018 года </t>
  </si>
  <si>
    <t xml:space="preserve">План 2019 года 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</si>
  <si>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</si>
  <si>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</si>
  <si>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</si>
  <si>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 xml:space="preserve">в т.ч. прибыль со свободного сектора 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</si>
  <si>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</si>
  <si>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</si>
  <si>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</si>
  <si>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</si>
  <si>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</si>
  <si>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</si>
  <si>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</si>
  <si>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</si>
  <si>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</si>
  <si>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</si>
  <si>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</si>
  <si>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</si>
  <si>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</si>
  <si>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</si>
  <si>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</si>
  <si>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</si>
  <si>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</si>
  <si>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</si>
  <si>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</si>
  <si>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</si>
  <si>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</si>
  <si>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</si>
  <si>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</si>
  <si>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</si>
  <si>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</si>
  <si>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</si>
  <si>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</si>
  <si>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</si>
  <si>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</si>
  <si>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</si>
  <si>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</si>
  <si>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</si>
  <si>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</si>
  <si>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</si>
  <si>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с уч. ндс</t>
  </si>
  <si>
    <t>ндс</t>
  </si>
  <si>
    <t>без ндс</t>
  </si>
  <si>
    <t>Приложение  № 4.3</t>
  </si>
  <si>
    <t>УТВЕРЖДАЮ</t>
  </si>
  <si>
    <t>______________К.А. Добровольский</t>
  </si>
  <si>
    <t>« __ » ___________ 201__ года</t>
  </si>
  <si>
    <t>Финансовая модель ОАО "РГЭС"</t>
  </si>
  <si>
    <t>на период реализации инвестиционной программы на 2017 - 2019 годы</t>
  </si>
  <si>
    <t>Выручка</t>
  </si>
  <si>
    <t>Себестоимость</t>
  </si>
  <si>
    <t xml:space="preserve">         Прямая себестоимость</t>
  </si>
  <si>
    <t xml:space="preserve">         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</si>
  <si>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</si>
  <si>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</si>
  <si>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</si>
  <si>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</si>
  <si>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</si>
  <si>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</si>
  <si>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</si>
  <si>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</si>
  <si>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 xml:space="preserve">        Платежи по прямой себестоимости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</si>
  <si>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</si>
  <si>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</si>
  <si>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</si>
  <si>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</si>
  <si>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 xml:space="preserve">   Эмиссия акций</t>
  </si>
  <si>
    <t xml:space="preserve">   Привлечение кредитов</t>
  </si>
  <si>
    <t xml:space="preserve">   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</si>
  <si>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</si>
  <si>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</si>
  <si>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</si>
  <si>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 xml:space="preserve">  Реструктуризация дефицитных кредитов</t>
  </si>
  <si>
    <t xml:space="preserve">  Увеличение капитализации</t>
  </si>
  <si>
    <t xml:space="preserve">  Субсидирование процентной ставки (реестр)</t>
  </si>
  <si>
    <t xml:space="preserve">  Субсидирование процентной ставки</t>
  </si>
  <si>
    <t>Нарастающим итогом</t>
  </si>
  <si>
    <t xml:space="preserve"> остаток денежных средств на начало периода</t>
  </si>
  <si>
    <t>Кредиты на начало</t>
  </si>
  <si>
    <t>Кредиты на конец</t>
  </si>
  <si>
    <t xml:space="preserve"> </t>
  </si>
  <si>
    <t>Приложение  № 1.1</t>
  </si>
  <si>
    <t>к приказу Министерства энергетики РФ</t>
  </si>
  <si>
    <t>от 24 марта 2010г. №114</t>
  </si>
  <si>
    <t>Перечень инвестиционных проектов на период реализации инвестиционной программы развития электрических сетей</t>
  </si>
  <si>
    <t xml:space="preserve"> ОАО "РГЭС" г. Радужный на период 2017-2019 гг. и план их финансирования</t>
  </si>
  <si>
    <t>Утверждаю</t>
  </si>
  <si>
    <t>Генеральный директор ОАО «РГЭС»</t>
  </si>
  <si>
    <t>г. Радужный</t>
  </si>
  <si>
    <t>_________________________К.А. Добровольский</t>
  </si>
  <si>
    <t>«_______» ____________________201__ года</t>
  </si>
  <si>
    <t>М.П.</t>
  </si>
  <si>
    <t>№ п/п</t>
  </si>
  <si>
    <t>Наименование объекта</t>
  </si>
  <si>
    <t>Стадия реализации проекта</t>
  </si>
  <si>
    <t>Проектная мощность/
протяженность сетей</t>
  </si>
  <si>
    <t>Плановые показатели энергетической эффективности, тыс. кВт/ч</t>
  </si>
  <si>
    <t xml:space="preserve">     год         начала строительства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</si>
  <si>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</si>
  <si>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</si>
  <si>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</si>
  <si>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</si>
  <si>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</si>
  <si>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</t>
  </si>
  <si>
    <t>План года 2017</t>
  </si>
  <si>
    <t>План года 2018</t>
  </si>
  <si>
    <t>План года 2019</t>
  </si>
  <si>
    <t>Итого</t>
  </si>
  <si>
    <t>План 
Года 2017</t>
  </si>
  <si>
    <t>План 
Года 2018</t>
  </si>
  <si>
    <t>План 
Года 2019</t>
  </si>
  <si>
    <t>С/П*</t>
  </si>
  <si>
    <t>МВА</t>
  </si>
  <si>
    <t>км</t>
  </si>
  <si>
    <t>млн. рублей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</si>
  <si>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</si>
  <si>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</si>
  <si>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</si>
  <si>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</si>
  <si>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</si>
  <si>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</si>
  <si>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ВЛ-35кВ ф.ф. 1,3 ПС 110/35/10кВ «Радужная»</t>
  </si>
  <si>
    <t>П/С</t>
  </si>
  <si>
    <t>1.1.2.</t>
  </si>
  <si>
    <t>1.1.3.</t>
  </si>
  <si>
    <t>С</t>
  </si>
  <si>
    <t>1.1.4.</t>
  </si>
  <si>
    <t>ВЛ-6кВ ф. 16 ПС 35/6кВ «Поселок»</t>
  </si>
  <si>
    <t>1.1.5.</t>
  </si>
  <si>
    <t>ВЛ-6кВ ф. 16 КРУН Варьеган</t>
  </si>
  <si>
    <t>1.1.6.</t>
  </si>
  <si>
    <t>ВЛ-6кВ ф. 22 ПС 220/110/35/6кВ «Варьеган»</t>
  </si>
  <si>
    <t>1.1.7.</t>
  </si>
  <si>
    <t>ПС 35/6кВ «Кирпичная»</t>
  </si>
  <si>
    <t>1.1.8.</t>
  </si>
  <si>
    <t>ПС 35/6кВ «Рославльская»</t>
  </si>
  <si>
    <t>1.1.9.</t>
  </si>
  <si>
    <t>ТП-61</t>
  </si>
  <si>
    <t>1.1.10.</t>
  </si>
  <si>
    <t>КТППН-139</t>
  </si>
  <si>
    <t>1.1.11.</t>
  </si>
  <si>
    <t>ТП-1001</t>
  </si>
  <si>
    <t>1.1.12.</t>
  </si>
  <si>
    <t>ТП-1002</t>
  </si>
  <si>
    <t>1.1.13.</t>
  </si>
  <si>
    <t>КТПН-46</t>
  </si>
  <si>
    <t>1.1.14.</t>
  </si>
  <si>
    <t>КТПН-112</t>
  </si>
  <si>
    <t>1.1.15.</t>
  </si>
  <si>
    <t>КТПН-148</t>
  </si>
  <si>
    <t>1.1.16.</t>
  </si>
  <si>
    <t>2 КЛ-6кВ от ТП-25 до ТП-21</t>
  </si>
  <si>
    <t>1.1.17.</t>
  </si>
  <si>
    <t>2КЛ-0,4кВ от ТП-42 до ВРУ-0,4кВ ж.д. №1</t>
  </si>
  <si>
    <t>1.1.18.</t>
  </si>
  <si>
    <t>2КЛ-0,4кВ от ТП-51 до ВРУ-0,4кВ ж.д. №19</t>
  </si>
  <si>
    <t>1.1.19.</t>
  </si>
  <si>
    <t>2КЛ-0,4кВ от ТП-51 до ВРУ-0,4кВ ж.д. №29</t>
  </si>
  <si>
    <t>1.1.20.</t>
  </si>
  <si>
    <t>2КЛ-0,4кВ от ТП-63 до ВРУ-0,4кВ ж.д. №1</t>
  </si>
  <si>
    <t>1.1.21.</t>
  </si>
  <si>
    <t>2КЛ-0,4кВ от ТП-64 до ВРУ-0,4кВ ж.д. №5</t>
  </si>
  <si>
    <t>1.1.22.</t>
  </si>
  <si>
    <t>1.1.23.</t>
  </si>
  <si>
    <t>ВЛ 10кВ ПС 35/10кВ "Город-3"</t>
  </si>
  <si>
    <t>1.1.24.</t>
  </si>
  <si>
    <t>ВЛ 6кВ ф. 8 ПС 35/6кВ "Поселок"</t>
  </si>
  <si>
    <t>1.1.25.</t>
  </si>
  <si>
    <t>1.1.26.</t>
  </si>
  <si>
    <t>ПС 35/10кВ "Котельная-3"</t>
  </si>
  <si>
    <t>1.1.27.</t>
  </si>
  <si>
    <t>ПС 35/10/6кВ "ГТЭС"</t>
  </si>
  <si>
    <t>1.1.28.</t>
  </si>
  <si>
    <t xml:space="preserve">ПС 35/10кВ "Город-1" </t>
  </si>
  <si>
    <t>1.1.29.</t>
  </si>
  <si>
    <t>ПС 35/6кВ "Город-2"</t>
  </si>
  <si>
    <t>1.1.30.</t>
  </si>
  <si>
    <t>РП-1</t>
  </si>
  <si>
    <t>1.1.31.</t>
  </si>
  <si>
    <t>РП-3</t>
  </si>
  <si>
    <t>1.1.32.</t>
  </si>
  <si>
    <t>РП-7</t>
  </si>
  <si>
    <t>1.1.33.</t>
  </si>
  <si>
    <t>РП-8</t>
  </si>
  <si>
    <t>1.1.34.</t>
  </si>
  <si>
    <t>ТП-51</t>
  </si>
  <si>
    <t>1.1.35.</t>
  </si>
  <si>
    <t>ТП-72</t>
  </si>
  <si>
    <t>1.1.36.</t>
  </si>
  <si>
    <t>КТП-140</t>
  </si>
  <si>
    <t>1.1.37.</t>
  </si>
  <si>
    <t>ТП-141</t>
  </si>
  <si>
    <t>1.1.38.</t>
  </si>
  <si>
    <t>КТПН-18</t>
  </si>
  <si>
    <t>1.1.39.</t>
  </si>
  <si>
    <t>КТПН-42</t>
  </si>
  <si>
    <t>1.1.40.</t>
  </si>
  <si>
    <t>КТПН-56</t>
  </si>
  <si>
    <t>1.1.41.</t>
  </si>
  <si>
    <t>КТПН-145</t>
  </si>
  <si>
    <t>1.1.42.</t>
  </si>
  <si>
    <t>2КЛ-0,4кВ от ТП-26 до ж.д. №5</t>
  </si>
  <si>
    <t>1.1.43.</t>
  </si>
  <si>
    <t>2КЛ-0,4кВ от ТП-32 до ж.д. №11</t>
  </si>
  <si>
    <t>1.1.44.</t>
  </si>
  <si>
    <t>4КЛ-0,4кВ от ТП-71 до ж.д. №1</t>
  </si>
  <si>
    <t>1.1.45.</t>
  </si>
  <si>
    <t>2КЛ-0,4кВ от ТП-74 до ж.д. №18</t>
  </si>
  <si>
    <t>1.1.46.</t>
  </si>
  <si>
    <t>2КЛ-0,4кВ от ТП-74 до ж.д. №27</t>
  </si>
  <si>
    <t>1.1.47.</t>
  </si>
  <si>
    <t>ВЛ 35кВ ф.ф. 2,5 ПС 110/35/10кВ «Промзона»</t>
  </si>
  <si>
    <t>1.1.48.</t>
  </si>
  <si>
    <t>ВЛ 35кВ ф.ф. 3,6 ПС 110/35/10кВ «Промзона»</t>
  </si>
  <si>
    <t>1.1.49.</t>
  </si>
  <si>
    <t>ВЛ 35кВ ф.ф. 2,4 ПС 110/35/10кВ «Радужная»</t>
  </si>
  <si>
    <t>1.1.50.</t>
  </si>
  <si>
    <t>ВЛ 10кВ ф.ф. 101,201 ПС 110/35/10кВ «Радужная»</t>
  </si>
  <si>
    <t>1.1.51.</t>
  </si>
  <si>
    <t>ВЛ 10кВ ф. 15 ПС 35/10кВ «Котельная-3»</t>
  </si>
  <si>
    <t>1.1.52.</t>
  </si>
  <si>
    <t>ПС 35/6кВ «Поселок»</t>
  </si>
  <si>
    <t>1.1.53.</t>
  </si>
  <si>
    <t>ПС 35/6кВ «Котельная-2»</t>
  </si>
  <si>
    <t>1.1.54.</t>
  </si>
  <si>
    <t>ПС 35/10кВ «Дачная»</t>
  </si>
  <si>
    <t>1.1.55.</t>
  </si>
  <si>
    <t>РП-2</t>
  </si>
  <si>
    <t>1.1.56.</t>
  </si>
  <si>
    <t>РП-5</t>
  </si>
  <si>
    <t>1.1.57.</t>
  </si>
  <si>
    <t>РП-6</t>
  </si>
  <si>
    <t>1.1.58.</t>
  </si>
  <si>
    <t>РП-10</t>
  </si>
  <si>
    <t>1.1.59.</t>
  </si>
  <si>
    <t>ТП-42</t>
  </si>
  <si>
    <t>1.1.60.</t>
  </si>
  <si>
    <t>ТП-53</t>
  </si>
  <si>
    <t>1.1.61.</t>
  </si>
  <si>
    <t>КТПН-23</t>
  </si>
  <si>
    <t>1.1.62.</t>
  </si>
  <si>
    <t>КТПН-31</t>
  </si>
  <si>
    <t>1.1.63.</t>
  </si>
  <si>
    <t>КТП-113</t>
  </si>
  <si>
    <t>1.1.64.</t>
  </si>
  <si>
    <t>КТПН-118</t>
  </si>
  <si>
    <t>1.1.65.</t>
  </si>
  <si>
    <t>КТПН-119</t>
  </si>
  <si>
    <t>1.1.66.</t>
  </si>
  <si>
    <t>КТПН-1101</t>
  </si>
  <si>
    <t>1.1.67.</t>
  </si>
  <si>
    <t>КТПН-1102</t>
  </si>
  <si>
    <t>1.1.68.</t>
  </si>
  <si>
    <t>2КЛ-0,4кВ от ТП-11 до ж.д. №9</t>
  </si>
  <si>
    <t>1.1.69.</t>
  </si>
  <si>
    <t>4КЛ-0,4кВ от РП-1 до ж.д. №14</t>
  </si>
  <si>
    <t>1.1.70.</t>
  </si>
  <si>
    <t>2КЛ-0,4кВ от ТП-31 до ж.д. №17</t>
  </si>
  <si>
    <t xml:space="preserve">2КЛ-0,4кВ от ТП-33 до ж.д. №19 </t>
  </si>
  <si>
    <t>1.2.</t>
  </si>
  <si>
    <t>Создание систем противоаварийной и режимной автоматики</t>
  </si>
  <si>
    <t>1.3.</t>
  </si>
  <si>
    <t>Создание систем телемеханики и связи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</si>
  <si>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</si>
  <si>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</si>
  <si>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</si>
  <si>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</si>
  <si>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</si>
  <si>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2.1.1.</t>
  </si>
  <si>
    <t>2 КЛ-6кВ от ТП-12 до ТП-22</t>
  </si>
  <si>
    <t>2.2.</t>
  </si>
  <si>
    <t>Прочее новое строительство</t>
  </si>
  <si>
    <t>2.2.1.</t>
  </si>
  <si>
    <t>Кабельные линии</t>
  </si>
  <si>
    <t>2.2.2.</t>
  </si>
  <si>
    <t>Воздушная линия</t>
  </si>
  <si>
    <t>2.2.3.</t>
  </si>
  <si>
    <t>Подстанция</t>
  </si>
  <si>
    <t>3.</t>
  </si>
  <si>
    <t>Спецтехника</t>
  </si>
  <si>
    <t>3.1.</t>
  </si>
  <si>
    <t>3.2.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</si>
  <si>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</si>
  <si>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</si>
  <si>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</si>
  <si>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</si>
  <si>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(с  НДС)</t>
  </si>
  <si>
    <t>*** - для сетевых организаций, переходящих на метод тарифного регулирования RAB, горизонт планирования пять лет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</si>
  <si>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</si>
  <si>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</si>
  <si>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Приложение  № 1.2</t>
  </si>
  <si>
    <t>Стоимость основных этапов работ по реализации инвестиционной программы</t>
  </si>
  <si>
    <t>ОАО "РГЭС" г. Радужный на период 2017-2019 гг.</t>
  </si>
  <si>
    <t>Генеральный директор ОАО "РГЭС"</t>
  </si>
  <si>
    <t>г.Радужный</t>
  </si>
  <si>
    <t>К.А. Добровольский</t>
  </si>
  <si>
    <t>«___»________ 20__ года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</si>
  <si>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</si>
  <si>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</si>
  <si>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</si>
  <si>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</si>
  <si>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</si>
  <si>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</si>
  <si>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</si>
  <si>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</si>
  <si>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</si>
  <si>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</si>
  <si>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</si>
  <si>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</si>
  <si>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</si>
  <si>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</si>
  <si>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</si>
  <si>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</si>
  <si>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</si>
  <si>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</si>
  <si>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</si>
  <si>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</si>
  <si>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</si>
  <si>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</si>
  <si>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</si>
  <si>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</si>
  <si>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</si>
  <si>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30 лет</t>
  </si>
  <si>
    <t>ПБ-35,П-35,ПБ-110,У-35,У-110</t>
  </si>
  <si>
    <t>АС-120</t>
  </si>
  <si>
    <t>У35-2</t>
  </si>
  <si>
    <t>ПБ-35,П-35,У-35</t>
  </si>
  <si>
    <t>ПТ10-1, КТ10-1</t>
  </si>
  <si>
    <t>А-95</t>
  </si>
  <si>
    <t>25 лет</t>
  </si>
  <si>
    <t>2 ТМГ</t>
  </si>
  <si>
    <t>4 ТМГ</t>
  </si>
  <si>
    <t>1 ТМГ</t>
  </si>
  <si>
    <t>АСБу 3х185</t>
  </si>
  <si>
    <t>ААШВ 3х120</t>
  </si>
  <si>
    <t>АВБбШв 3х185+1х95</t>
  </si>
  <si>
    <t>АВБбШв 4х185</t>
  </si>
  <si>
    <t>АВБбШв 3х120+1х70</t>
  </si>
  <si>
    <t>АВБбШв 4х120</t>
  </si>
  <si>
    <t>АВБбШв 4х150+1х70</t>
  </si>
  <si>
    <t>АВВГ 3х185+1х95</t>
  </si>
  <si>
    <t>СИП-3 1х70</t>
  </si>
  <si>
    <t>АВВГ 3х95+1х50</t>
  </si>
  <si>
    <t>АВБбШв 4х95</t>
  </si>
  <si>
    <t>АСБГу 3х185+1х95</t>
  </si>
  <si>
    <t>ПБ110-2</t>
  </si>
  <si>
    <t>П110-4В</t>
  </si>
  <si>
    <t>2ПБ110-1</t>
  </si>
  <si>
    <t>У110-2В</t>
  </si>
  <si>
    <t>СИП-3 1х120</t>
  </si>
  <si>
    <t>ПБ110-1</t>
  </si>
  <si>
    <t>АПВБ (3*70+1*35)</t>
  </si>
  <si>
    <t>АВВГ (3*185+1*95), АВБбШв (3*150+1*70)</t>
  </si>
  <si>
    <t>ААБЛ (3*185)</t>
  </si>
  <si>
    <t>АВВГ (4*95)</t>
  </si>
  <si>
    <t>2.1.1</t>
  </si>
  <si>
    <t xml:space="preserve">3. 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</si>
  <si>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</si>
  <si>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</si>
  <si>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Приложение  № 1.3</t>
  </si>
  <si>
    <t>Прогноз ввода/вывода объектов</t>
  </si>
  <si>
    <t>ОАО "РГЭС" г.Радужный на период 2017-2019 гг.</t>
  </si>
  <si>
    <t xml:space="preserve">                     К.А. Добровольский</t>
  </si>
  <si>
    <t>Наименование проекта</t>
  </si>
  <si>
    <t>Ввод мощностей*</t>
  </si>
  <si>
    <t>Вывод мощностей</t>
  </si>
  <si>
    <t>Первоначальная стоимость вводимых основных средств (без НДС)**</t>
  </si>
  <si>
    <t>Ввод основных средств</t>
  </si>
  <si>
    <t>План 2017 года</t>
  </si>
  <si>
    <t>План 2018</t>
  </si>
  <si>
    <t>План 2019</t>
  </si>
  <si>
    <t>I кв.</t>
  </si>
  <si>
    <t>II кв.</t>
  </si>
  <si>
    <t>III кв.</t>
  </si>
  <si>
    <t>VI кв.</t>
  </si>
  <si>
    <t>км/МВА/другое***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</si>
  <si>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</si>
  <si>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</si>
  <si>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</si>
  <si>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</si>
  <si>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</si>
  <si>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</si>
  <si>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</si>
  <si>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</si>
  <si>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</si>
  <si>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</si>
  <si>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</si>
  <si>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</si>
  <si>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</si>
  <si>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</si>
  <si>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</si>
  <si>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</si>
  <si>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</si>
  <si>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</si>
  <si>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</si>
  <si>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</si>
  <si>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</si>
  <si>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</si>
  <si>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</si>
  <si>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</si>
  <si>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</si>
  <si>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</si>
  <si>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</si>
  <si>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</si>
  <si>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</si>
  <si>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</si>
  <si>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</si>
  <si>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</si>
  <si>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</si>
  <si>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</si>
  <si>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</si>
  <si>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</si>
  <si>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</si>
  <si>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</si>
  <si>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</si>
  <si>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</si>
  <si>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</si>
  <si>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</si>
  <si>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</si>
  <si>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</si>
  <si>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</si>
  <si>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</si>
  <si>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</si>
  <si>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</si>
  <si>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</si>
  <si>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</si>
  <si>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</si>
  <si>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</si>
  <si>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</si>
  <si>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</si>
  <si>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</si>
  <si>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</si>
  <si>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</si>
  <si>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</si>
  <si>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</si>
  <si>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</si>
  <si>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</si>
  <si>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</si>
  <si>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</si>
  <si>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</si>
  <si>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</si>
  <si>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</si>
  <si>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2 КЛ-6кВ от ТП-22 до ТП-12</t>
  </si>
  <si>
    <t>2.2.4.</t>
  </si>
  <si>
    <t>Прочее строительство</t>
  </si>
  <si>
    <t>Приложение  № 2.2</t>
  </si>
  <si>
    <t>Краткое описание инвестиционной программы ОАО "РГЭС" на период 2017-2019 гг.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</si>
  <si>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</si>
  <si>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</si>
  <si>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</si>
  <si>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</si>
  <si>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</si>
  <si>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</si>
  <si>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</si>
  <si>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</si>
  <si>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</si>
  <si>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01.01.2013, %
**</t>
  </si>
  <si>
    <t>Стоимость объекта,  млн. рублей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</si>
</sst>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0;\-#,##0.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"/>
    <numFmt numFmtId="174" formatCode="0.000000"/>
  </numFmts>
  <fonts count="44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25" borderId="18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0" fontId="23" fillId="24" borderId="10" xfId="0" applyNumberFormat="1" applyFont="1" applyFill="1" applyBorder="1" applyAlignment="1">
      <alignment vertical="center" wrapText="1"/>
    </xf>
    <xf numFmtId="0" fontId="23" fillId="0" borderId="10" xfId="55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4" fontId="23" fillId="24" borderId="10" xfId="55" applyNumberFormat="1" applyFont="1" applyFill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55" applyNumberFormat="1" applyFont="1" applyFill="1" applyBorder="1" applyAlignment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2" fontId="23" fillId="0" borderId="10" xfId="55" applyNumberFormat="1" applyFont="1" applyFill="1" applyBorder="1" applyAlignment="1">
      <alignment horizontal="center" vertical="center"/>
      <protection/>
    </xf>
    <xf numFmtId="49" fontId="25" fillId="25" borderId="18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vertical="center" wrapText="1"/>
    </xf>
    <xf numFmtId="0" fontId="23" fillId="25" borderId="10" xfId="55" applyFont="1" applyFill="1" applyBorder="1" applyAlignment="1">
      <alignment horizontal="center" vertical="center"/>
      <protection/>
    </xf>
    <xf numFmtId="3" fontId="0" fillId="25" borderId="10" xfId="0" applyNumberFormat="1" applyFont="1" applyFill="1" applyBorder="1" applyAlignment="1">
      <alignment horizontal="center" vertical="center" wrapText="1"/>
    </xf>
    <xf numFmtId="3" fontId="23" fillId="25" borderId="10" xfId="55" applyNumberFormat="1" applyFont="1" applyFill="1" applyBorder="1" applyAlignment="1">
      <alignment horizontal="center" vertical="center"/>
      <protection/>
    </xf>
    <xf numFmtId="3" fontId="23" fillId="25" borderId="10" xfId="0" applyNumberFormat="1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3" fillId="0" borderId="10" xfId="55" applyNumberFormat="1" applyFont="1" applyFill="1" applyBorder="1" applyAlignment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49" fontId="25" fillId="25" borderId="18" xfId="55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55" applyFont="1" applyFill="1" applyBorder="1" applyAlignment="1">
      <alignment horizontal="center" vertical="center"/>
      <protection/>
    </xf>
    <xf numFmtId="3" fontId="25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49" fontId="23" fillId="0" borderId="18" xfId="55" applyNumberFormat="1" applyFont="1" applyFill="1" applyBorder="1" applyAlignment="1">
      <alignment horizontal="center" vertical="center" wrapText="1"/>
      <protection/>
    </xf>
    <xf numFmtId="164" fontId="23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24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/>
    </xf>
    <xf numFmtId="49" fontId="20" fillId="25" borderId="15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/>
    </xf>
    <xf numFmtId="0" fontId="20" fillId="25" borderId="16" xfId="0" applyFont="1" applyFill="1" applyBorder="1" applyAlignment="1">
      <alignment wrapText="1"/>
    </xf>
    <xf numFmtId="2" fontId="20" fillId="25" borderId="16" xfId="0" applyNumberFormat="1" applyFont="1" applyFill="1" applyBorder="1" applyAlignment="1">
      <alignment horizontal="center" vertical="center" wrapText="1"/>
    </xf>
    <xf numFmtId="2" fontId="20" fillId="25" borderId="16" xfId="0" applyNumberFormat="1" applyFont="1" applyFill="1" applyBorder="1" applyAlignment="1">
      <alignment/>
    </xf>
    <xf numFmtId="2" fontId="20" fillId="25" borderId="16" xfId="0" applyNumberFormat="1" applyFont="1" applyFill="1" applyBorder="1" applyAlignment="1">
      <alignment horizontal="center" wrapText="1"/>
    </xf>
    <xf numFmtId="0" fontId="20" fillId="25" borderId="17" xfId="0" applyFont="1" applyFill="1" applyBorder="1" applyAlignment="1">
      <alignment/>
    </xf>
    <xf numFmtId="0" fontId="20" fillId="0" borderId="0" xfId="0" applyFont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23" fillId="24" borderId="10" xfId="55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0" fillId="25" borderId="10" xfId="0" applyFont="1" applyFill="1" applyBorder="1" applyAlignment="1">
      <alignment horizontal="left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25" fillId="0" borderId="18" xfId="55" applyNumberFormat="1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left" vertical="center" wrapText="1"/>
    </xf>
    <xf numFmtId="4" fontId="25" fillId="24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0" borderId="23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9" fontId="27" fillId="24" borderId="15" xfId="0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49" fontId="27" fillId="25" borderId="19" xfId="0" applyNumberFormat="1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/>
    </xf>
    <xf numFmtId="2" fontId="27" fillId="25" borderId="14" xfId="0" applyNumberFormat="1" applyFont="1" applyFill="1" applyBorder="1" applyAlignment="1">
      <alignment horizontal="center"/>
    </xf>
    <xf numFmtId="16" fontId="28" fillId="0" borderId="15" xfId="0" applyNumberFormat="1" applyFont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vertical="center" wrapText="1"/>
    </xf>
    <xf numFmtId="0" fontId="30" fillId="0" borderId="16" xfId="55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30" fillId="0" borderId="27" xfId="55" applyFont="1" applyFill="1" applyBorder="1" applyAlignment="1">
      <alignment horizontal="center" vertical="center"/>
      <protection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0" fillId="0" borderId="10" xfId="55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0" fillId="0" borderId="21" xfId="55" applyFont="1" applyFill="1" applyBorder="1" applyAlignment="1">
      <alignment horizontal="center" vertical="center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2" fontId="30" fillId="0" borderId="10" xfId="55" applyNumberFormat="1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28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167" fontId="30" fillId="0" borderId="10" xfId="55" applyNumberFormat="1" applyFont="1" applyFill="1" applyBorder="1" applyAlignment="1">
      <alignment horizontal="center" vertical="center"/>
      <protection/>
    </xf>
    <xf numFmtId="167" fontId="30" fillId="0" borderId="10" xfId="0" applyNumberFormat="1" applyFont="1" applyFill="1" applyBorder="1" applyAlignment="1">
      <alignment horizontal="center" vertical="center" wrapText="1"/>
    </xf>
    <xf numFmtId="167" fontId="30" fillId="0" borderId="28" xfId="0" applyNumberFormat="1" applyFont="1" applyFill="1" applyBorder="1" applyAlignment="1">
      <alignment horizontal="center" vertical="center" wrapText="1"/>
    </xf>
    <xf numFmtId="167" fontId="30" fillId="0" borderId="21" xfId="55" applyNumberFormat="1" applyFont="1" applyFill="1" applyBorder="1" applyAlignment="1">
      <alignment horizontal="center" vertical="center"/>
      <protection/>
    </xf>
    <xf numFmtId="2" fontId="30" fillId="0" borderId="21" xfId="55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30" fillId="0" borderId="28" xfId="55" applyFont="1" applyFill="1" applyBorder="1" applyAlignment="1">
      <alignment horizontal="center" vertical="center"/>
      <protection/>
    </xf>
    <xf numFmtId="49" fontId="31" fillId="25" borderId="18" xfId="0" applyNumberFormat="1" applyFont="1" applyFill="1" applyBorder="1" applyAlignment="1">
      <alignment horizontal="center" vertical="center"/>
    </xf>
    <xf numFmtId="0" fontId="31" fillId="25" borderId="10" xfId="0" applyNumberFormat="1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30" fillId="25" borderId="10" xfId="55" applyNumberFormat="1" applyFont="1" applyFill="1" applyBorder="1" applyAlignment="1">
      <alignment horizontal="center" vertical="center"/>
      <protection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26" xfId="0" applyNumberFormat="1" applyFont="1" applyFill="1" applyBorder="1" applyAlignment="1">
      <alignment horizontal="center" vertical="center" wrapText="1"/>
    </xf>
    <xf numFmtId="2" fontId="30" fillId="25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/>
    </xf>
    <xf numFmtId="49" fontId="30" fillId="0" borderId="18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 wrapText="1"/>
    </xf>
    <xf numFmtId="2" fontId="30" fillId="24" borderId="10" xfId="55" applyNumberFormat="1" applyFont="1" applyFill="1" applyBorder="1" applyAlignment="1">
      <alignment horizontal="center" vertical="center"/>
      <protection/>
    </xf>
    <xf numFmtId="2" fontId="30" fillId="24" borderId="11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49" fontId="27" fillId="25" borderId="18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2" fontId="28" fillId="25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2" fontId="28" fillId="0" borderId="10" xfId="0" applyNumberFormat="1" applyFont="1" applyBorder="1" applyAlignment="1">
      <alignment horizontal="center" vertical="center"/>
    </xf>
    <xf numFmtId="2" fontId="31" fillId="25" borderId="18" xfId="55" applyNumberFormat="1" applyFont="1" applyFill="1" applyBorder="1" applyAlignment="1">
      <alignment horizontal="center" vertical="center" wrapText="1"/>
      <protection/>
    </xf>
    <xf numFmtId="2" fontId="31" fillId="25" borderId="10" xfId="0" applyNumberFormat="1" applyFont="1" applyFill="1" applyBorder="1" applyAlignment="1">
      <alignment horizontal="left" vertical="center" wrapText="1"/>
    </xf>
    <xf numFmtId="49" fontId="30" fillId="0" borderId="18" xfId="55" applyNumberFormat="1" applyFont="1" applyFill="1" applyBorder="1" applyAlignment="1">
      <alignment horizontal="center" vertical="center" wrapText="1"/>
      <protection/>
    </xf>
    <xf numFmtId="2" fontId="30" fillId="24" borderId="10" xfId="54" applyNumberFormat="1" applyFont="1" applyFill="1" applyBorder="1" applyAlignment="1">
      <alignment horizontal="left" vertical="center" wrapText="1"/>
      <protection/>
    </xf>
    <xf numFmtId="49" fontId="30" fillId="24" borderId="29" xfId="55" applyNumberFormat="1" applyFont="1" applyFill="1" applyBorder="1" applyAlignment="1">
      <alignment horizontal="center" vertical="center" wrapText="1"/>
      <protection/>
    </xf>
    <xf numFmtId="0" fontId="30" fillId="24" borderId="30" xfId="0" applyFont="1" applyFill="1" applyBorder="1" applyAlignment="1">
      <alignment horizontal="left" vertical="center" wrapText="1"/>
    </xf>
    <xf numFmtId="2" fontId="30" fillId="24" borderId="30" xfId="0" applyNumberFormat="1" applyFont="1" applyFill="1" applyBorder="1" applyAlignment="1">
      <alignment horizontal="center" vertical="center" wrapText="1"/>
    </xf>
    <xf numFmtId="2" fontId="30" fillId="24" borderId="30" xfId="55" applyNumberFormat="1" applyFont="1" applyFill="1" applyBorder="1" applyAlignment="1">
      <alignment horizontal="center" vertical="center"/>
      <protection/>
    </xf>
    <xf numFmtId="2" fontId="28" fillId="24" borderId="30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Border="1" applyAlignment="1">
      <alignment horizontal="center" vertical="center"/>
    </xf>
    <xf numFmtId="2" fontId="30" fillId="24" borderId="31" xfId="0" applyNumberFormat="1" applyFont="1" applyFill="1" applyBorder="1" applyAlignment="1">
      <alignment horizontal="center" vertical="center" wrapText="1"/>
    </xf>
    <xf numFmtId="49" fontId="31" fillId="24" borderId="32" xfId="55" applyNumberFormat="1" applyFont="1" applyFill="1" applyBorder="1" applyAlignment="1">
      <alignment horizontal="center" vertical="center" wrapText="1"/>
      <protection/>
    </xf>
    <xf numFmtId="0" fontId="31" fillId="24" borderId="13" xfId="0" applyFont="1" applyFill="1" applyBorder="1" applyAlignment="1">
      <alignment horizontal="left" vertical="center" wrapText="1"/>
    </xf>
    <xf numFmtId="2" fontId="30" fillId="24" borderId="13" xfId="0" applyNumberFormat="1" applyFont="1" applyFill="1" applyBorder="1" applyAlignment="1">
      <alignment horizontal="center" vertical="center" wrapText="1"/>
    </xf>
    <xf numFmtId="2" fontId="30" fillId="24" borderId="3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right" vertical="center"/>
    </xf>
    <xf numFmtId="0" fontId="0" fillId="0" borderId="34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2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vertical="center" wrapText="1"/>
    </xf>
    <xf numFmtId="0" fontId="24" fillId="24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1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/>
    </xf>
    <xf numFmtId="3" fontId="24" fillId="25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3" fontId="33" fillId="25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/>
    </xf>
    <xf numFmtId="2" fontId="24" fillId="25" borderId="10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49" fontId="23" fillId="0" borderId="19" xfId="55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3" fillId="0" borderId="12" xfId="55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0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right"/>
    </xf>
    <xf numFmtId="0" fontId="37" fillId="0" borderId="0" xfId="0" applyFont="1" applyFill="1" applyAlignment="1">
      <alignment/>
    </xf>
    <xf numFmtId="0" fontId="0" fillId="24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35" xfId="0" applyNumberFormat="1" applyFont="1" applyFill="1" applyBorder="1" applyAlignment="1">
      <alignment horizontal="center" vertical="top" wrapText="1"/>
    </xf>
    <xf numFmtId="0" fontId="20" fillId="0" borderId="36" xfId="0" applyNumberFormat="1" applyFont="1" applyFill="1" applyBorder="1" applyAlignment="1">
      <alignment horizontal="center" vertical="top" wrapText="1"/>
    </xf>
    <xf numFmtId="0" fontId="20" fillId="0" borderId="22" xfId="0" applyNumberFormat="1" applyFont="1" applyFill="1" applyBorder="1" applyAlignment="1">
      <alignment horizontal="center" vertical="top" wrapText="1"/>
    </xf>
    <xf numFmtId="0" fontId="20" fillId="0" borderId="37" xfId="0" applyNumberFormat="1" applyFont="1" applyFill="1" applyBorder="1" applyAlignment="1">
      <alignment horizontal="center" vertical="top" wrapText="1"/>
    </xf>
    <xf numFmtId="0" fontId="20" fillId="0" borderId="38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8" fillId="24" borderId="0" xfId="0" applyFont="1" applyFill="1" applyAlignment="1">
      <alignment/>
    </xf>
    <xf numFmtId="0" fontId="20" fillId="0" borderId="39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0" fillId="0" borderId="0" xfId="0" applyFont="1" applyAlignment="1">
      <alignment horizontal="justify" wrapText="1"/>
    </xf>
    <xf numFmtId="0" fontId="36" fillId="0" borderId="45" xfId="0" applyFont="1" applyBorder="1" applyAlignment="1">
      <alignment/>
    </xf>
    <xf numFmtId="0" fontId="36" fillId="0" borderId="46" xfId="0" applyFont="1" applyBorder="1" applyAlignment="1">
      <alignment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20" fillId="0" borderId="0" xfId="0" applyFont="1" applyAlignment="1">
      <alignment wrapText="1"/>
    </xf>
    <xf numFmtId="0" fontId="22" fillId="0" borderId="0" xfId="56" applyFont="1">
      <alignment/>
      <protection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2" fillId="24" borderId="3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justify" vertical="center" wrapText="1"/>
    </xf>
    <xf numFmtId="4" fontId="20" fillId="0" borderId="58" xfId="0" applyNumberFormat="1" applyFont="1" applyBorder="1" applyAlignment="1">
      <alignment horizontal="right" vertical="center"/>
    </xf>
    <xf numFmtId="4" fontId="20" fillId="0" borderId="59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justify" vertical="center" wrapText="1"/>
    </xf>
    <xf numFmtId="4" fontId="20" fillId="0" borderId="49" xfId="0" applyNumberFormat="1" applyFont="1" applyBorder="1" applyAlignment="1">
      <alignment horizontal="right" vertical="center"/>
    </xf>
    <xf numFmtId="4" fontId="20" fillId="0" borderId="50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justify" vertical="center" wrapText="1"/>
    </xf>
    <xf numFmtId="4" fontId="20" fillId="0" borderId="51" xfId="0" applyNumberFormat="1" applyFont="1" applyBorder="1" applyAlignment="1">
      <alignment horizontal="right" vertical="center"/>
    </xf>
    <xf numFmtId="4" fontId="20" fillId="0" borderId="52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0" fontId="20" fillId="0" borderId="49" xfId="0" applyFont="1" applyBorder="1" applyAlignment="1">
      <alignment horizontal="justify" vertical="center" wrapText="1"/>
    </xf>
    <xf numFmtId="4" fontId="0" fillId="0" borderId="49" xfId="0" applyNumberFormat="1" applyFont="1" applyBorder="1" applyAlignment="1">
      <alignment horizontal="right" vertical="center"/>
    </xf>
    <xf numFmtId="4" fontId="0" fillId="0" borderId="50" xfId="0" applyNumberFormat="1" applyFont="1" applyBorder="1" applyAlignment="1">
      <alignment horizontal="right" vertical="center"/>
    </xf>
    <xf numFmtId="0" fontId="20" fillId="0" borderId="49" xfId="0" applyFont="1" applyFill="1" applyBorder="1" applyAlignment="1">
      <alignment horizontal="justify" vertical="center" wrapText="1"/>
    </xf>
    <xf numFmtId="4" fontId="0" fillId="0" borderId="51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justify" vertical="center" wrapText="1"/>
    </xf>
    <xf numFmtId="4" fontId="20" fillId="0" borderId="61" xfId="0" applyNumberFormat="1" applyFont="1" applyBorder="1" applyAlignment="1">
      <alignment horizontal="right" vertical="center"/>
    </xf>
    <xf numFmtId="4" fontId="20" fillId="0" borderId="62" xfId="0" applyNumberFormat="1" applyFont="1" applyBorder="1" applyAlignment="1">
      <alignment horizontal="right" vertical="center"/>
    </xf>
    <xf numFmtId="0" fontId="20" fillId="0" borderId="53" xfId="0" applyFont="1" applyBorder="1" applyAlignment="1">
      <alignment horizontal="center" vertical="center"/>
    </xf>
    <xf numFmtId="0" fontId="20" fillId="0" borderId="47" xfId="0" applyFont="1" applyBorder="1" applyAlignment="1">
      <alignment horizontal="justify" vertical="center" wrapText="1"/>
    </xf>
    <xf numFmtId="4" fontId="20" fillId="0" borderId="48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justify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justify" vertical="center" wrapText="1"/>
    </xf>
    <xf numFmtId="4" fontId="20" fillId="0" borderId="64" xfId="0" applyNumberFormat="1" applyFont="1" applyBorder="1" applyAlignment="1">
      <alignment horizontal="right" vertical="center"/>
    </xf>
    <xf numFmtId="4" fontId="20" fillId="0" borderId="65" xfId="0" applyNumberFormat="1" applyFont="1" applyBorder="1" applyAlignment="1">
      <alignment horizontal="right" vertical="center"/>
    </xf>
    <xf numFmtId="4" fontId="20" fillId="0" borderId="47" xfId="0" applyNumberFormat="1" applyFont="1" applyBorder="1" applyAlignment="1">
      <alignment horizontal="right" vertical="center"/>
    </xf>
    <xf numFmtId="16" fontId="0" fillId="0" borderId="45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/>
    </xf>
    <xf numFmtId="4" fontId="0" fillId="0" borderId="47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0" fontId="20" fillId="0" borderId="66" xfId="0" applyFont="1" applyBorder="1" applyAlignment="1">
      <alignment horizontal="center" vertical="center"/>
    </xf>
    <xf numFmtId="0" fontId="20" fillId="0" borderId="54" xfId="0" applyFont="1" applyBorder="1" applyAlignment="1">
      <alignment horizontal="justify" vertical="center" wrapText="1"/>
    </xf>
    <xf numFmtId="2" fontId="20" fillId="0" borderId="49" xfId="56" applyNumberFormat="1" applyFont="1" applyFill="1" applyBorder="1" applyAlignment="1">
      <alignment horizontal="right"/>
      <protection/>
    </xf>
    <xf numFmtId="4" fontId="0" fillId="0" borderId="64" xfId="0" applyNumberFormat="1" applyFont="1" applyBorder="1" applyAlignment="1">
      <alignment horizontal="right" vertical="center"/>
    </xf>
    <xf numFmtId="4" fontId="0" fillId="0" borderId="65" xfId="0" applyNumberFormat="1" applyFont="1" applyBorder="1" applyAlignment="1">
      <alignment horizontal="right" vertical="center"/>
    </xf>
    <xf numFmtId="0" fontId="2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justify" vertical="center" wrapText="1"/>
    </xf>
    <xf numFmtId="4" fontId="20" fillId="0" borderId="68" xfId="0" applyNumberFormat="1" applyFont="1" applyBorder="1" applyAlignment="1">
      <alignment horizontal="right" vertical="center"/>
    </xf>
    <xf numFmtId="4" fontId="20" fillId="0" borderId="69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justify" vertical="center" wrapText="1"/>
    </xf>
    <xf numFmtId="0" fontId="20" fillId="0" borderId="71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51" xfId="0" applyFont="1" applyBorder="1" applyAlignment="1">
      <alignment horizontal="justify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justify" vertical="center" wrapText="1"/>
    </xf>
    <xf numFmtId="4" fontId="0" fillId="0" borderId="73" xfId="0" applyNumberFormat="1" applyFont="1" applyBorder="1" applyAlignment="1">
      <alignment horizontal="right" vertical="center"/>
    </xf>
    <xf numFmtId="4" fontId="0" fillId="0" borderId="74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4" fontId="0" fillId="0" borderId="49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173" fontId="14" fillId="0" borderId="51" xfId="0" applyNumberFormat="1" applyFont="1" applyBorder="1" applyAlignment="1">
      <alignment vertical="center"/>
    </xf>
    <xf numFmtId="4" fontId="0" fillId="0" borderId="52" xfId="0" applyNumberFormat="1" applyBorder="1" applyAlignment="1">
      <alignment vertical="center"/>
    </xf>
    <xf numFmtId="0" fontId="40" fillId="0" borderId="0" xfId="0" applyFont="1" applyBorder="1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0" fontId="38" fillId="0" borderId="0" xfId="56" applyFont="1">
      <alignment/>
      <protection/>
    </xf>
    <xf numFmtId="0" fontId="20" fillId="0" borderId="0" xfId="56" applyFont="1" applyAlignment="1">
      <alignment wrapText="1"/>
      <protection/>
    </xf>
    <xf numFmtId="0" fontId="0" fillId="0" borderId="0" xfId="56" applyFont="1" applyAlignment="1">
      <alignment horizontal="left"/>
      <protection/>
    </xf>
    <xf numFmtId="0" fontId="20" fillId="0" borderId="0" xfId="56" applyFont="1" applyAlignment="1">
      <alignment horizontal="center" wrapText="1"/>
      <protection/>
    </xf>
    <xf numFmtId="0" fontId="20" fillId="0" borderId="0" xfId="56" applyFont="1" applyAlignment="1">
      <alignment horizontal="left"/>
      <protection/>
    </xf>
    <xf numFmtId="2" fontId="0" fillId="0" borderId="0" xfId="56" applyNumberFormat="1" applyFont="1">
      <alignment/>
      <protection/>
    </xf>
    <xf numFmtId="0" fontId="20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2" fontId="0" fillId="0" borderId="0" xfId="56" applyNumberFormat="1" applyFont="1" applyAlignment="1">
      <alignment horizontal="center"/>
      <protection/>
    </xf>
    <xf numFmtId="0" fontId="20" fillId="0" borderId="75" xfId="56" applyFont="1" applyBorder="1" applyAlignment="1">
      <alignment horizontal="center" vertical="center" wrapText="1"/>
      <protection/>
    </xf>
    <xf numFmtId="0" fontId="20" fillId="0" borderId="76" xfId="56" applyFont="1" applyBorder="1" applyAlignment="1">
      <alignment horizontal="center" vertical="center" wrapText="1"/>
      <protection/>
    </xf>
    <xf numFmtId="0" fontId="20" fillId="0" borderId="66" xfId="56" applyFont="1" applyBorder="1" applyAlignment="1">
      <alignment horizontal="center" vertical="center" wrapText="1"/>
      <protection/>
    </xf>
    <xf numFmtId="0" fontId="20" fillId="0" borderId="77" xfId="56" applyFont="1" applyFill="1" applyBorder="1" applyAlignment="1">
      <alignment horizontal="center" vertical="center" wrapText="1"/>
      <protection/>
    </xf>
    <xf numFmtId="0" fontId="20" fillId="0" borderId="78" xfId="56" applyFont="1" applyFill="1" applyBorder="1" applyAlignment="1">
      <alignment horizontal="left" vertical="center" wrapText="1"/>
      <protection/>
    </xf>
    <xf numFmtId="2" fontId="20" fillId="0" borderId="47" xfId="56" applyNumberFormat="1" applyFont="1" applyFill="1" applyBorder="1" applyAlignment="1">
      <alignment horizontal="center" vertical="center" wrapText="1"/>
      <protection/>
    </xf>
    <xf numFmtId="2" fontId="20" fillId="0" borderId="79" xfId="56" applyNumberFormat="1" applyFont="1" applyFill="1" applyBorder="1" applyAlignment="1">
      <alignment horizontal="center" vertical="center" wrapText="1"/>
      <protection/>
    </xf>
    <xf numFmtId="0" fontId="0" fillId="0" borderId="77" xfId="56" applyFont="1" applyFill="1" applyBorder="1" applyAlignment="1">
      <alignment horizontal="center" vertical="center"/>
      <protection/>
    </xf>
    <xf numFmtId="0" fontId="0" fillId="0" borderId="78" xfId="56" applyFont="1" applyFill="1" applyBorder="1" applyAlignment="1">
      <alignment horizontal="left" vertical="center" wrapText="1"/>
      <protection/>
    </xf>
    <xf numFmtId="2" fontId="0" fillId="0" borderId="49" xfId="56" applyNumberFormat="1" applyFont="1" applyFill="1" applyBorder="1" applyAlignment="1">
      <alignment horizontal="center"/>
      <protection/>
    </xf>
    <xf numFmtId="2" fontId="0" fillId="0" borderId="79" xfId="56" applyNumberFormat="1" applyFont="1" applyFill="1" applyBorder="1" applyAlignment="1">
      <alignment horizontal="center" vertical="center" wrapText="1"/>
      <protection/>
    </xf>
    <xf numFmtId="2" fontId="38" fillId="0" borderId="49" xfId="56" applyNumberFormat="1" applyFont="1" applyFill="1" applyBorder="1" applyAlignment="1">
      <alignment horizontal="center"/>
      <protection/>
    </xf>
    <xf numFmtId="2" fontId="0" fillId="0" borderId="79" xfId="56" applyNumberFormat="1" applyFont="1" applyFill="1" applyBorder="1" applyAlignment="1">
      <alignment horizontal="center" wrapText="1"/>
      <protection/>
    </xf>
    <xf numFmtId="0" fontId="20" fillId="0" borderId="77" xfId="56" applyFont="1" applyFill="1" applyBorder="1" applyAlignment="1">
      <alignment horizontal="center" vertical="center"/>
      <protection/>
    </xf>
    <xf numFmtId="2" fontId="20" fillId="0" borderId="49" xfId="56" applyNumberFormat="1" applyFont="1" applyFill="1" applyBorder="1" applyAlignment="1">
      <alignment horizontal="center"/>
      <protection/>
    </xf>
    <xf numFmtId="0" fontId="0" fillId="0" borderId="77" xfId="56" applyNumberFormat="1" applyFont="1" applyFill="1" applyBorder="1" applyAlignment="1">
      <alignment horizontal="center" vertical="center"/>
      <protection/>
    </xf>
    <xf numFmtId="0" fontId="0" fillId="0" borderId="80" xfId="56" applyFont="1" applyFill="1" applyBorder="1" applyAlignment="1">
      <alignment horizontal="center" vertical="center"/>
      <protection/>
    </xf>
    <xf numFmtId="0" fontId="0" fillId="0" borderId="81" xfId="56" applyFont="1" applyFill="1" applyBorder="1" applyAlignment="1">
      <alignment horizontal="left" vertical="center" wrapText="1"/>
      <protection/>
    </xf>
    <xf numFmtId="0" fontId="0" fillId="0" borderId="82" xfId="56" applyFont="1" applyFill="1" applyBorder="1" applyAlignment="1">
      <alignment horizontal="center" vertical="center"/>
      <protection/>
    </xf>
    <xf numFmtId="0" fontId="0" fillId="0" borderId="83" xfId="56" applyFont="1" applyFill="1" applyBorder="1" applyAlignment="1">
      <alignment horizontal="left" vertical="center" wrapText="1"/>
      <protection/>
    </xf>
    <xf numFmtId="2" fontId="0" fillId="0" borderId="51" xfId="56" applyNumberFormat="1" applyFont="1" applyFill="1" applyBorder="1" applyAlignment="1">
      <alignment horizontal="center"/>
      <protection/>
    </xf>
    <xf numFmtId="2" fontId="38" fillId="0" borderId="51" xfId="56" applyNumberFormat="1" applyFont="1" applyFill="1" applyBorder="1" applyAlignment="1">
      <alignment horizontal="center"/>
      <protection/>
    </xf>
    <xf numFmtId="2" fontId="0" fillId="0" borderId="84" xfId="56" applyNumberFormat="1" applyFont="1" applyFill="1" applyBorder="1" applyAlignment="1">
      <alignment horizontal="center" vertical="center" wrapText="1"/>
      <protection/>
    </xf>
    <xf numFmtId="0" fontId="20" fillId="0" borderId="53" xfId="56" applyFont="1" applyFill="1" applyBorder="1" applyAlignment="1">
      <alignment horizontal="left" vertical="center"/>
      <protection/>
    </xf>
    <xf numFmtId="0" fontId="20" fillId="0" borderId="47" xfId="56" applyFont="1" applyFill="1" applyBorder="1" applyAlignment="1">
      <alignment horizontal="left" vertical="center" wrapText="1"/>
      <protection/>
    </xf>
    <xf numFmtId="2" fontId="20" fillId="0" borderId="58" xfId="56" applyNumberFormat="1" applyFont="1" applyFill="1" applyBorder="1" applyAlignment="1">
      <alignment horizontal="center"/>
      <protection/>
    </xf>
    <xf numFmtId="2" fontId="20" fillId="0" borderId="85" xfId="56" applyNumberFormat="1" applyFont="1" applyFill="1" applyBorder="1" applyAlignment="1">
      <alignment horizontal="center" vertical="center" wrapText="1"/>
      <protection/>
    </xf>
    <xf numFmtId="0" fontId="0" fillId="0" borderId="45" xfId="56" applyFont="1" applyFill="1" applyBorder="1" applyAlignment="1">
      <alignment horizontal="left" vertical="center"/>
      <protection/>
    </xf>
    <xf numFmtId="0" fontId="0" fillId="0" borderId="49" xfId="56" applyFont="1" applyFill="1" applyBorder="1" applyAlignment="1">
      <alignment horizontal="left" vertical="center" wrapText="1"/>
      <protection/>
    </xf>
    <xf numFmtId="2" fontId="0" fillId="0" borderId="49" xfId="56" applyNumberFormat="1" applyFont="1" applyFill="1" applyBorder="1">
      <alignment/>
      <protection/>
    </xf>
    <xf numFmtId="2" fontId="38" fillId="0" borderId="49" xfId="56" applyNumberFormat="1" applyFont="1" applyFill="1" applyBorder="1">
      <alignment/>
      <protection/>
    </xf>
    <xf numFmtId="2" fontId="0" fillId="0" borderId="79" xfId="56" applyNumberFormat="1" applyFont="1" applyFill="1" applyBorder="1">
      <alignment/>
      <protection/>
    </xf>
    <xf numFmtId="0" fontId="0" fillId="0" borderId="49" xfId="56" applyFont="1" applyFill="1" applyBorder="1" applyAlignment="1">
      <alignment horizontal="right" vertical="center" wrapText="1"/>
      <protection/>
    </xf>
    <xf numFmtId="0" fontId="0" fillId="0" borderId="46" xfId="56" applyFont="1" applyFill="1" applyBorder="1" applyAlignment="1">
      <alignment horizontal="left" vertical="center"/>
      <protection/>
    </xf>
    <xf numFmtId="0" fontId="0" fillId="0" borderId="51" xfId="56" applyFont="1" applyFill="1" applyBorder="1" applyAlignment="1">
      <alignment horizontal="right" vertical="center" wrapText="1"/>
      <protection/>
    </xf>
    <xf numFmtId="2" fontId="0" fillId="0" borderId="51" xfId="56" applyNumberFormat="1" applyFont="1" applyFill="1" applyBorder="1">
      <alignment/>
      <protection/>
    </xf>
    <xf numFmtId="2" fontId="38" fillId="0" borderId="51" xfId="56" applyNumberFormat="1" applyFont="1" applyFill="1" applyBorder="1">
      <alignment/>
      <protection/>
    </xf>
    <xf numFmtId="2" fontId="0" fillId="0" borderId="84" xfId="56" applyNumberFormat="1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 horizontal="left" vertical="center" wrapText="1" indent="4"/>
      <protection/>
    </xf>
    <xf numFmtId="0" fontId="0" fillId="0" borderId="0" xfId="56" applyFont="1" applyBorder="1" applyAlignment="1">
      <alignment wrapText="1"/>
      <protection/>
    </xf>
    <xf numFmtId="0" fontId="40" fillId="0" borderId="0" xfId="56" applyFont="1" applyBorder="1" applyAlignment="1">
      <alignment wrapText="1"/>
      <protection/>
    </xf>
    <xf numFmtId="0" fontId="40" fillId="0" borderId="0" xfId="56" applyFont="1" applyFill="1" applyBorder="1" applyAlignment="1">
      <alignment horizontal="left" vertical="center"/>
      <protection/>
    </xf>
    <xf numFmtId="0" fontId="40" fillId="0" borderId="0" xfId="56" applyFont="1" applyBorder="1" applyAlignment="1">
      <alignment horizontal="right"/>
      <protection/>
    </xf>
    <xf numFmtId="0" fontId="40" fillId="0" borderId="0" xfId="56" applyFont="1">
      <alignment/>
      <protection/>
    </xf>
    <xf numFmtId="0" fontId="40" fillId="0" borderId="0" xfId="56" applyFont="1" applyAlignment="1">
      <alignment horizontal="right"/>
      <protection/>
    </xf>
    <xf numFmtId="174" fontId="40" fillId="0" borderId="0" xfId="56" applyNumberFormat="1" applyFont="1">
      <alignment/>
      <protection/>
    </xf>
    <xf numFmtId="0" fontId="43" fillId="0" borderId="0" xfId="56" applyFont="1" applyBorder="1" applyAlignment="1">
      <alignment horizontal="center" vertical="center" wrapText="1"/>
      <protection/>
    </xf>
    <xf numFmtId="0" fontId="39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0" fontId="20" fillId="0" borderId="8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30" fillId="0" borderId="1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2" fontId="0" fillId="0" borderId="34" xfId="0" applyNumberFormat="1" applyFont="1" applyBorder="1" applyAlignment="1">
      <alignment horizontal="right" vertical="top" wrapText="1"/>
    </xf>
    <xf numFmtId="0" fontId="33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justify" wrapText="1"/>
    </xf>
    <xf numFmtId="0" fontId="21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right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20" fillId="24" borderId="8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horizontal="justify" vertical="justify"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right"/>
    </xf>
    <xf numFmtId="2" fontId="22" fillId="24" borderId="34" xfId="0" applyNumberFormat="1" applyFont="1" applyFill="1" applyBorder="1" applyAlignment="1">
      <alignment horizontal="right" vertical="top" wrapText="1"/>
    </xf>
    <xf numFmtId="0" fontId="41" fillId="0" borderId="53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4" fontId="22" fillId="0" borderId="51" xfId="0" applyNumberFormat="1" applyFont="1" applyBorder="1" applyAlignment="1">
      <alignment horizontal="right"/>
    </xf>
    <xf numFmtId="0" fontId="22" fillId="0" borderId="51" xfId="0" applyNumberFormat="1" applyFont="1" applyBorder="1" applyAlignment="1">
      <alignment horizontal="right"/>
    </xf>
    <xf numFmtId="0" fontId="22" fillId="0" borderId="52" xfId="0" applyNumberFormat="1" applyFont="1" applyBorder="1" applyAlignment="1">
      <alignment horizontal="right"/>
    </xf>
    <xf numFmtId="0" fontId="22" fillId="0" borderId="91" xfId="0" applyNumberFormat="1" applyFont="1" applyBorder="1" applyAlignment="1">
      <alignment horizontal="left" wrapText="1"/>
    </xf>
    <xf numFmtId="0" fontId="22" fillId="0" borderId="83" xfId="0" applyNumberFormat="1" applyFont="1" applyBorder="1" applyAlignment="1">
      <alignment horizontal="left" wrapText="1"/>
    </xf>
    <xf numFmtId="0" fontId="22" fillId="0" borderId="92" xfId="0" applyNumberFormat="1" applyFont="1" applyBorder="1" applyAlignment="1">
      <alignment horizontal="left" wrapText="1"/>
    </xf>
    <xf numFmtId="2" fontId="22" fillId="0" borderId="51" xfId="0" applyNumberFormat="1" applyFont="1" applyBorder="1" applyAlignment="1">
      <alignment horizontal="right"/>
    </xf>
    <xf numFmtId="4" fontId="22" fillId="0" borderId="49" xfId="0" applyNumberFormat="1" applyFont="1" applyBorder="1" applyAlignment="1">
      <alignment horizontal="right"/>
    </xf>
    <xf numFmtId="0" fontId="22" fillId="0" borderId="49" xfId="0" applyNumberFormat="1" applyFont="1" applyBorder="1" applyAlignment="1">
      <alignment horizontal="right"/>
    </xf>
    <xf numFmtId="0" fontId="22" fillId="0" borderId="50" xfId="0" applyNumberFormat="1" applyFont="1" applyBorder="1" applyAlignment="1">
      <alignment horizontal="right"/>
    </xf>
    <xf numFmtId="0" fontId="22" fillId="0" borderId="93" xfId="0" applyNumberFormat="1" applyFont="1" applyBorder="1" applyAlignment="1">
      <alignment horizontal="left" wrapText="1"/>
    </xf>
    <xf numFmtId="0" fontId="22" fillId="0" borderId="78" xfId="0" applyNumberFormat="1" applyFont="1" applyBorder="1" applyAlignment="1">
      <alignment horizontal="left" wrapText="1"/>
    </xf>
    <xf numFmtId="0" fontId="22" fillId="0" borderId="94" xfId="0" applyNumberFormat="1" applyFont="1" applyBorder="1" applyAlignment="1">
      <alignment horizontal="left" wrapText="1"/>
    </xf>
    <xf numFmtId="2" fontId="22" fillId="0" borderId="68" xfId="0" applyNumberFormat="1" applyFont="1" applyBorder="1" applyAlignment="1">
      <alignment horizontal="right"/>
    </xf>
    <xf numFmtId="0" fontId="22" fillId="0" borderId="93" xfId="0" applyNumberFormat="1" applyFont="1" applyBorder="1" applyAlignment="1">
      <alignment horizontal="left" wrapText="1" indent="1"/>
    </xf>
    <xf numFmtId="0" fontId="22" fillId="0" borderId="78" xfId="0" applyNumberFormat="1" applyFont="1" applyBorder="1" applyAlignment="1">
      <alignment horizontal="left" wrapText="1" indent="1"/>
    </xf>
    <xf numFmtId="0" fontId="22" fillId="0" borderId="94" xfId="0" applyNumberFormat="1" applyFont="1" applyBorder="1" applyAlignment="1">
      <alignment horizontal="left" wrapText="1" indent="1"/>
    </xf>
    <xf numFmtId="4" fontId="22" fillId="0" borderId="68" xfId="0" applyNumberFormat="1" applyFont="1" applyBorder="1" applyAlignment="1">
      <alignment horizontal="right"/>
    </xf>
    <xf numFmtId="0" fontId="22" fillId="0" borderId="68" xfId="0" applyNumberFormat="1" applyFont="1" applyBorder="1" applyAlignment="1">
      <alignment horizontal="right"/>
    </xf>
    <xf numFmtId="4" fontId="22" fillId="0" borderId="95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4" fontId="22" fillId="0" borderId="94" xfId="0" applyNumberFormat="1" applyFont="1" applyBorder="1" applyAlignment="1">
      <alignment horizontal="right"/>
    </xf>
    <xf numFmtId="0" fontId="22" fillId="0" borderId="69" xfId="0" applyNumberFormat="1" applyFont="1" applyBorder="1" applyAlignment="1">
      <alignment horizontal="right"/>
    </xf>
    <xf numFmtId="0" fontId="22" fillId="0" borderId="78" xfId="0" applyNumberFormat="1" applyFont="1" applyBorder="1" applyAlignment="1">
      <alignment horizontal="left"/>
    </xf>
    <xf numFmtId="0" fontId="22" fillId="0" borderId="94" xfId="0" applyNumberFormat="1" applyFont="1" applyBorder="1" applyAlignment="1">
      <alignment horizontal="left"/>
    </xf>
    <xf numFmtId="0" fontId="22" fillId="0" borderId="67" xfId="0" applyNumberFormat="1" applyFont="1" applyBorder="1" applyAlignment="1">
      <alignment horizontal="left" wrapText="1"/>
    </xf>
    <xf numFmtId="0" fontId="22" fillId="0" borderId="68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center" vertical="justify"/>
    </xf>
    <xf numFmtId="0" fontId="0" fillId="0" borderId="65" xfId="0" applyNumberFormat="1" applyFont="1" applyBorder="1" applyAlignment="1">
      <alignment horizontal="center" vertical="justify"/>
    </xf>
    <xf numFmtId="0" fontId="22" fillId="0" borderId="57" xfId="0" applyNumberFormat="1" applyFont="1" applyBorder="1" applyAlignment="1">
      <alignment horizontal="left" wrapText="1"/>
    </xf>
    <xf numFmtId="0" fontId="22" fillId="0" borderId="58" xfId="0" applyNumberFormat="1" applyFont="1" applyBorder="1" applyAlignment="1">
      <alignment horizontal="left"/>
    </xf>
    <xf numFmtId="4" fontId="22" fillId="0" borderId="58" xfId="0" applyNumberFormat="1" applyFont="1" applyBorder="1" applyAlignment="1">
      <alignment horizontal="right"/>
    </xf>
    <xf numFmtId="0" fontId="22" fillId="0" borderId="58" xfId="0" applyNumberFormat="1" applyFont="1" applyBorder="1" applyAlignment="1">
      <alignment horizontal="right"/>
    </xf>
    <xf numFmtId="0" fontId="22" fillId="0" borderId="59" xfId="0" applyNumberFormat="1" applyFont="1" applyBorder="1" applyAlignment="1">
      <alignment horizontal="right"/>
    </xf>
    <xf numFmtId="0" fontId="0" fillId="0" borderId="63" xfId="0" applyNumberFormat="1" applyFont="1" applyBorder="1" applyAlignment="1">
      <alignment horizontal="center" vertic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нвестиции Сети Сбыты ЭСО" xfId="55"/>
    <cellStyle name="Обычный_ИП по ПП 977(24.12.10)-из Н-Вартовск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8;&#1085;&#1074;&#1077;&#1089;&#1090;%20&#1087;&#1088;&#1086;&#1075;&#1088;&#1072;&#1084;&#1084;&#1072;%20&#1056;&#1043;&#1069;&#1057;%202017-2019-&#1058;&#1102;&#1083;&#1077;&#1085;&#1077;&#1074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5;&#1088;&#1080;&#1083;&#1086;&#1078;&#1077;&#1085;&#1080;&#1103;%204.1%20%204.2%20%204.3%20-%20&#1092;&#1080;&#1085;.&#1087;&#1083;&#1072;&#1085;,%20&#1092;&#1080;&#1085;.&#1084;&#1086;&#1076;&#1077;&#1083;&#1100;%202017-2019%20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2.2"/>
      <sheetName val="приложение 3.1"/>
      <sheetName val="приложение 3.2"/>
    </sheetNames>
    <sheetDataSet>
      <sheetData sheetId="0">
        <row r="67">
          <cell r="H67">
            <v>9.920000000000002</v>
          </cell>
        </row>
        <row r="68">
          <cell r="H68">
            <v>2.572</v>
          </cell>
        </row>
        <row r="69">
          <cell r="H69">
            <v>4.5600000000000005</v>
          </cell>
        </row>
        <row r="70">
          <cell r="H70">
            <v>4.928</v>
          </cell>
        </row>
        <row r="71">
          <cell r="H71">
            <v>1.27</v>
          </cell>
        </row>
        <row r="72">
          <cell r="H72">
            <v>30.494999999999997</v>
          </cell>
        </row>
        <row r="73">
          <cell r="H73">
            <v>8.495999999999999</v>
          </cell>
        </row>
        <row r="74">
          <cell r="H74">
            <v>19.917</v>
          </cell>
        </row>
        <row r="75">
          <cell r="H75">
            <v>6.225</v>
          </cell>
        </row>
        <row r="76">
          <cell r="H76">
            <v>4.203</v>
          </cell>
        </row>
        <row r="77">
          <cell r="H77">
            <v>1.4969999999999999</v>
          </cell>
        </row>
        <row r="78">
          <cell r="H78">
            <v>9.858</v>
          </cell>
        </row>
        <row r="79">
          <cell r="H79">
            <v>1.059</v>
          </cell>
        </row>
        <row r="80">
          <cell r="H80">
            <v>1.059</v>
          </cell>
        </row>
        <row r="81">
          <cell r="H81">
            <v>1.0799999999999998</v>
          </cell>
        </row>
        <row r="82">
          <cell r="H82">
            <v>0.925</v>
          </cell>
        </row>
        <row r="83">
          <cell r="H83">
            <v>16.086000000000002</v>
          </cell>
        </row>
        <row r="84">
          <cell r="H84">
            <v>0.91</v>
          </cell>
        </row>
        <row r="85">
          <cell r="H85">
            <v>0.911</v>
          </cell>
        </row>
        <row r="86">
          <cell r="H86">
            <v>1.345</v>
          </cell>
        </row>
        <row r="87">
          <cell r="H87">
            <v>1.345</v>
          </cell>
        </row>
        <row r="88">
          <cell r="H88">
            <v>0.14100000000000001</v>
          </cell>
        </row>
        <row r="89">
          <cell r="H89">
            <v>0.499</v>
          </cell>
        </row>
        <row r="90">
          <cell r="H90">
            <v>0.28</v>
          </cell>
        </row>
        <row r="91">
          <cell r="H91">
            <v>0.46299999999999997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  <sheetName val="приложение 4.2"/>
      <sheetName val="приложение 4.3"/>
    </sheetNames>
    <sheetDataSet>
      <sheetData sheetId="0">
        <row r="18">
          <cell r="C18">
            <v>405.99</v>
          </cell>
          <cell r="D18">
            <v>376.81</v>
          </cell>
          <cell r="E18">
            <v>399.69</v>
          </cell>
        </row>
        <row r="23">
          <cell r="C23">
            <v>25.2</v>
          </cell>
          <cell r="D23">
            <v>26.240000000000002</v>
          </cell>
          <cell r="E23">
            <v>27.15</v>
          </cell>
        </row>
        <row r="28">
          <cell r="C28">
            <v>186.38</v>
          </cell>
          <cell r="D28">
            <v>194.03</v>
          </cell>
          <cell r="E28">
            <v>200.8</v>
          </cell>
        </row>
        <row r="29">
          <cell r="C29">
            <v>76.57</v>
          </cell>
          <cell r="D29">
            <v>81.15</v>
          </cell>
          <cell r="E29">
            <v>86.07</v>
          </cell>
        </row>
        <row r="42">
          <cell r="C42">
            <v>0.61</v>
          </cell>
          <cell r="D42">
            <v>0.63</v>
          </cell>
          <cell r="E42">
            <v>0.66</v>
          </cell>
        </row>
        <row r="46">
          <cell r="C46">
            <v>16.48</v>
          </cell>
          <cell r="D46">
            <v>9.66</v>
          </cell>
          <cell r="E46">
            <v>18.04</v>
          </cell>
        </row>
      </sheetData>
      <sheetData sheetId="1">
        <row r="18">
          <cell r="C18">
            <v>38.01</v>
          </cell>
          <cell r="D18">
            <v>42.4</v>
          </cell>
          <cell r="E18">
            <v>50.92</v>
          </cell>
        </row>
        <row r="25">
          <cell r="C25">
            <v>76.57</v>
          </cell>
          <cell r="D25">
            <v>81.15</v>
          </cell>
          <cell r="E25">
            <v>86.07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117"/>
  <sheetViews>
    <sheetView tabSelected="1" view="pageBreakPreview" zoomScale="75" zoomScaleNormal="50" zoomScaleSheetLayoutView="75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2" width="37.75390625" style="2" customWidth="1"/>
    <col min="3" max="3" width="12.25390625" style="2" customWidth="1"/>
    <col min="4" max="5" width="12.00390625" style="3" customWidth="1"/>
    <col min="6" max="6" width="16.375" style="3" customWidth="1"/>
    <col min="7" max="7" width="15.375" style="3" customWidth="1"/>
    <col min="8" max="8" width="15.75390625" style="3" customWidth="1"/>
    <col min="9" max="9" width="18.50390625" style="3" customWidth="1"/>
    <col min="10" max="10" width="17.50390625" style="4" customWidth="1"/>
    <col min="11" max="11" width="17.25390625" style="2" customWidth="1"/>
    <col min="12" max="14" width="9.375" style="2" customWidth="1"/>
    <col min="15" max="17" width="9.375" style="5" customWidth="1"/>
    <col min="18" max="23" width="9.375" style="2" customWidth="1"/>
    <col min="24" max="253" width="9.00390625" style="2" customWidth="1"/>
    <col min="254" max="16384" width="10.75390625" style="0" customWidth="1"/>
  </cols>
  <sheetData>
    <row r="1" spans="10:17" ht="15.75">
      <c r="J1" s="3"/>
      <c r="K1" s="3"/>
      <c r="O1" s="2"/>
      <c r="P1" s="2"/>
      <c r="Q1" s="2"/>
    </row>
    <row r="2" spans="2:23" ht="15.75">
      <c r="B2" s="2" t="s">
        <v>556</v>
      </c>
      <c r="J2" s="3"/>
      <c r="K2" s="3"/>
      <c r="O2" s="2"/>
      <c r="P2" s="2"/>
      <c r="Q2" s="2"/>
      <c r="W2" s="6" t="s">
        <v>557</v>
      </c>
    </row>
    <row r="3" spans="10:23" ht="15.75">
      <c r="J3" s="3"/>
      <c r="K3" s="3"/>
      <c r="O3" s="2"/>
      <c r="P3" s="2"/>
      <c r="Q3" s="2"/>
      <c r="W3" s="6" t="s">
        <v>558</v>
      </c>
    </row>
    <row r="4" spans="10:23" ht="15.75">
      <c r="J4" s="3"/>
      <c r="K4" s="3"/>
      <c r="O4" s="2"/>
      <c r="P4" s="2"/>
      <c r="Q4" s="2"/>
      <c r="W4" s="6" t="s">
        <v>559</v>
      </c>
    </row>
    <row r="5" spans="1:23" ht="18.75">
      <c r="A5" s="597" t="s">
        <v>560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</row>
    <row r="6" spans="1:23" ht="16.5" customHeight="1">
      <c r="A6" s="597" t="s">
        <v>561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</row>
    <row r="7" spans="23:256" s="2" customFormat="1" ht="16.5" customHeight="1">
      <c r="W7" s="6" t="s">
        <v>562</v>
      </c>
      <c r="IT7"/>
      <c r="IU7"/>
      <c r="IV7"/>
    </row>
    <row r="8" spans="23:256" s="2" customFormat="1" ht="16.5" customHeight="1">
      <c r="W8" s="6" t="s">
        <v>563</v>
      </c>
      <c r="IT8"/>
      <c r="IU8"/>
      <c r="IV8"/>
    </row>
    <row r="9" spans="23:256" s="2" customFormat="1" ht="16.5" customHeight="1">
      <c r="W9" s="6" t="s">
        <v>564</v>
      </c>
      <c r="IT9"/>
      <c r="IU9"/>
      <c r="IV9"/>
    </row>
    <row r="10" spans="23:256" s="2" customFormat="1" ht="16.5" customHeight="1">
      <c r="W10" s="6" t="s">
        <v>565</v>
      </c>
      <c r="IT10"/>
      <c r="IU10"/>
      <c r="IV10"/>
    </row>
    <row r="11" spans="14:256" s="2" customFormat="1" ht="16.5" customHeight="1">
      <c r="N11" s="5"/>
      <c r="W11" s="6" t="s">
        <v>566</v>
      </c>
      <c r="IT11"/>
      <c r="IU11"/>
      <c r="IV11"/>
    </row>
    <row r="12" spans="23:256" s="2" customFormat="1" ht="16.5" customHeight="1">
      <c r="W12" s="6" t="s">
        <v>567</v>
      </c>
      <c r="IT12"/>
      <c r="IU12"/>
      <c r="IV12"/>
    </row>
    <row r="13" spans="254:256" s="2" customFormat="1" ht="16.5" customHeight="1">
      <c r="IT13"/>
      <c r="IU13"/>
      <c r="IV13"/>
    </row>
    <row r="14" spans="1:23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1" customHeight="1">
      <c r="A15" s="598" t="s">
        <v>568</v>
      </c>
      <c r="B15" s="593" t="s">
        <v>569</v>
      </c>
      <c r="C15" s="593" t="s">
        <v>570</v>
      </c>
      <c r="D15" s="593" t="s">
        <v>571</v>
      </c>
      <c r="E15" s="593"/>
      <c r="F15" s="593" t="s">
        <v>572</v>
      </c>
      <c r="G15" s="593" t="s">
        <v>573</v>
      </c>
      <c r="H15" s="593" t="s">
        <v>574</v>
      </c>
      <c r="I15" s="593" t="s">
        <v>575</v>
      </c>
      <c r="J15" s="593" t="s">
        <v>576</v>
      </c>
      <c r="K15" s="593" t="s">
        <v>577</v>
      </c>
      <c r="L15" s="594" t="s">
        <v>578</v>
      </c>
      <c r="M15" s="594"/>
      <c r="N15" s="594"/>
      <c r="O15" s="594"/>
      <c r="P15" s="594"/>
      <c r="Q15" s="594"/>
      <c r="R15" s="594"/>
      <c r="S15" s="594"/>
      <c r="T15" s="595" t="s">
        <v>579</v>
      </c>
      <c r="U15" s="595"/>
      <c r="V15" s="595"/>
      <c r="W15" s="595"/>
    </row>
    <row r="16" spans="1:23" ht="61.5" customHeight="1">
      <c r="A16" s="598"/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6" t="s">
        <v>580</v>
      </c>
      <c r="M16" s="596"/>
      <c r="N16" s="596" t="s">
        <v>581</v>
      </c>
      <c r="O16" s="596"/>
      <c r="P16" s="596" t="s">
        <v>582</v>
      </c>
      <c r="Q16" s="596"/>
      <c r="R16" s="596" t="s">
        <v>583</v>
      </c>
      <c r="S16" s="596"/>
      <c r="T16" s="9" t="s">
        <v>584</v>
      </c>
      <c r="U16" s="9" t="s">
        <v>585</v>
      </c>
      <c r="V16" s="9" t="s">
        <v>586</v>
      </c>
      <c r="W16" s="10" t="s">
        <v>583</v>
      </c>
    </row>
    <row r="17" spans="1:23" ht="45" customHeight="1">
      <c r="A17" s="598"/>
      <c r="B17" s="593"/>
      <c r="C17" s="11" t="s">
        <v>587</v>
      </c>
      <c r="D17" s="11" t="s">
        <v>588</v>
      </c>
      <c r="E17" s="12" t="s">
        <v>589</v>
      </c>
      <c r="F17" s="593"/>
      <c r="G17" s="593"/>
      <c r="H17" s="593"/>
      <c r="I17" s="11" t="s">
        <v>590</v>
      </c>
      <c r="J17" s="11" t="s">
        <v>590</v>
      </c>
      <c r="K17" s="11" t="s">
        <v>590</v>
      </c>
      <c r="L17" s="11" t="s">
        <v>588</v>
      </c>
      <c r="M17" s="12" t="s">
        <v>589</v>
      </c>
      <c r="N17" s="11" t="s">
        <v>588</v>
      </c>
      <c r="O17" s="12" t="s">
        <v>589</v>
      </c>
      <c r="P17" s="11" t="s">
        <v>588</v>
      </c>
      <c r="Q17" s="12" t="s">
        <v>589</v>
      </c>
      <c r="R17" s="11" t="s">
        <v>588</v>
      </c>
      <c r="S17" s="12" t="s">
        <v>589</v>
      </c>
      <c r="T17" s="11" t="s">
        <v>590</v>
      </c>
      <c r="U17" s="11" t="s">
        <v>590</v>
      </c>
      <c r="V17" s="11" t="s">
        <v>590</v>
      </c>
      <c r="W17" s="13" t="s">
        <v>590</v>
      </c>
    </row>
    <row r="18" spans="1:23" ht="15.75">
      <c r="A18" s="14"/>
      <c r="B18" s="15" t="s">
        <v>591</v>
      </c>
      <c r="C18" s="15"/>
      <c r="D18" s="16">
        <f>D19+D97</f>
        <v>40.82999999999999</v>
      </c>
      <c r="E18" s="16">
        <f>E19+E97</f>
        <v>10.48</v>
      </c>
      <c r="F18" s="16">
        <f>F19+F97</f>
        <v>118.69000000000005</v>
      </c>
      <c r="G18" s="15"/>
      <c r="H18" s="15"/>
      <c r="I18" s="16">
        <f>I19+I97+I107</f>
        <v>375.1190000000002</v>
      </c>
      <c r="J18" s="16">
        <f>J19+J97+J107</f>
        <v>375.1190000000002</v>
      </c>
      <c r="K18" s="16">
        <f>K19+K97+K107</f>
        <v>0</v>
      </c>
      <c r="L18" s="16">
        <f>L19+L97</f>
        <v>11.72</v>
      </c>
      <c r="M18" s="16">
        <f>M19+M97</f>
        <v>4.32</v>
      </c>
      <c r="N18" s="16">
        <f>N19+N83</f>
        <v>25.679999999999996</v>
      </c>
      <c r="O18" s="16">
        <f>O19+O97</f>
        <v>1.55</v>
      </c>
      <c r="P18" s="16">
        <f>P19+P83</f>
        <v>4.63</v>
      </c>
      <c r="Q18" s="16">
        <f>Q19+Q97</f>
        <v>4.61</v>
      </c>
      <c r="R18" s="16">
        <f>R19</f>
        <v>40.82999999999999</v>
      </c>
      <c r="S18" s="16">
        <f>S19+S97</f>
        <v>10.48</v>
      </c>
      <c r="T18" s="16">
        <f>T19+T97+T107</f>
        <v>114.57600000000001</v>
      </c>
      <c r="U18" s="16">
        <f>U19+U97+U107</f>
        <v>123.54899999999998</v>
      </c>
      <c r="V18" s="16">
        <f>V19+V97+V107</f>
        <v>136.99399999999997</v>
      </c>
      <c r="W18" s="17">
        <f aca="true" t="shared" si="0" ref="W18:W90">SUM(T18:V18)</f>
        <v>375.11899999999997</v>
      </c>
    </row>
    <row r="19" spans="1:23" ht="33.75" customHeight="1">
      <c r="A19" s="18" t="s">
        <v>592</v>
      </c>
      <c r="B19" s="9" t="s">
        <v>593</v>
      </c>
      <c r="C19" s="9"/>
      <c r="D19" s="19">
        <f>D20+D91+D93+D95</f>
        <v>40.82999999999999</v>
      </c>
      <c r="E19" s="19">
        <f>E20+E91+E93+E95</f>
        <v>10.110000000000001</v>
      </c>
      <c r="F19" s="19">
        <f>F20</f>
        <v>118.69000000000005</v>
      </c>
      <c r="G19" s="20"/>
      <c r="H19" s="20"/>
      <c r="I19" s="19">
        <f>I20+I91+I93+I95</f>
        <v>353.1890000000002</v>
      </c>
      <c r="J19" s="19">
        <f>J20+J91+J93+J95</f>
        <v>353.1890000000002</v>
      </c>
      <c r="K19" s="19">
        <f>K20+K91+K93+K95</f>
        <v>0</v>
      </c>
      <c r="L19" s="19">
        <f>L20+L91+L93+L95</f>
        <v>11.72</v>
      </c>
      <c r="M19" s="19">
        <f>M20+M78+M83+M85</f>
        <v>3.95</v>
      </c>
      <c r="N19" s="19">
        <f>N20+N78+N83+N85</f>
        <v>25.679999999999996</v>
      </c>
      <c r="O19" s="19">
        <f>O20+O78+O83+O85</f>
        <v>1.55</v>
      </c>
      <c r="P19" s="19">
        <f>P20+P78+P83+P85</f>
        <v>4.2299999999999995</v>
      </c>
      <c r="Q19" s="19">
        <f>Q20+Q78+Q83+Q85</f>
        <v>4.61</v>
      </c>
      <c r="R19" s="19">
        <f>R20</f>
        <v>40.82999999999999</v>
      </c>
      <c r="S19" s="19">
        <f>S20+S78+S83+S85</f>
        <v>10.110000000000001</v>
      </c>
      <c r="T19" s="19">
        <f>SUM(T21:T73)</f>
        <v>106.646</v>
      </c>
      <c r="U19" s="19">
        <f>SUM(U21:U73)</f>
        <v>116.49899999999998</v>
      </c>
      <c r="V19" s="19">
        <f>SUM(V21:V90)</f>
        <v>130.04399999999998</v>
      </c>
      <c r="W19" s="21">
        <f t="shared" si="0"/>
        <v>353.18899999999996</v>
      </c>
    </row>
    <row r="20" spans="1:23" ht="33.75" customHeight="1">
      <c r="A20" s="22" t="s">
        <v>594</v>
      </c>
      <c r="B20" s="23" t="s">
        <v>595</v>
      </c>
      <c r="C20" s="23"/>
      <c r="D20" s="24">
        <f>SUM(D21:D90)</f>
        <v>40.82999999999999</v>
      </c>
      <c r="E20" s="24">
        <f>SUM(E21:E90)</f>
        <v>10.110000000000001</v>
      </c>
      <c r="F20" s="24">
        <f>SUM(F21:F90)</f>
        <v>118.69000000000005</v>
      </c>
      <c r="G20" s="25"/>
      <c r="H20" s="25"/>
      <c r="I20" s="24">
        <f aca="true" t="shared" si="1" ref="I20:V20">SUM(I21:I90)</f>
        <v>353.1890000000002</v>
      </c>
      <c r="J20" s="24">
        <f t="shared" si="1"/>
        <v>353.1890000000002</v>
      </c>
      <c r="K20" s="24">
        <f t="shared" si="1"/>
        <v>0</v>
      </c>
      <c r="L20" s="24">
        <f t="shared" si="1"/>
        <v>11.72</v>
      </c>
      <c r="M20" s="24">
        <f t="shared" si="1"/>
        <v>3.95</v>
      </c>
      <c r="N20" s="24">
        <f t="shared" si="1"/>
        <v>25.679999999999996</v>
      </c>
      <c r="O20" s="24">
        <f t="shared" si="1"/>
        <v>1.55</v>
      </c>
      <c r="P20" s="24">
        <f t="shared" si="1"/>
        <v>3.4299999999999997</v>
      </c>
      <c r="Q20" s="24">
        <f t="shared" si="1"/>
        <v>4.61</v>
      </c>
      <c r="R20" s="24">
        <f t="shared" si="1"/>
        <v>40.82999999999999</v>
      </c>
      <c r="S20" s="24">
        <f t="shared" si="1"/>
        <v>10.110000000000001</v>
      </c>
      <c r="T20" s="24">
        <f t="shared" si="1"/>
        <v>106.646</v>
      </c>
      <c r="U20" s="24">
        <f t="shared" si="1"/>
        <v>116.49899999999998</v>
      </c>
      <c r="V20" s="24">
        <f t="shared" si="1"/>
        <v>130.04399999999998</v>
      </c>
      <c r="W20" s="26">
        <f t="shared" si="0"/>
        <v>353.18899999999996</v>
      </c>
    </row>
    <row r="21" spans="1:23" ht="39" customHeight="1">
      <c r="A21" s="27" t="s">
        <v>596</v>
      </c>
      <c r="B21" s="28" t="s">
        <v>597</v>
      </c>
      <c r="C21" s="29" t="s">
        <v>598</v>
      </c>
      <c r="D21" s="30"/>
      <c r="E21" s="30">
        <v>1</v>
      </c>
      <c r="F21" s="30">
        <v>0</v>
      </c>
      <c r="G21" s="31">
        <v>2017</v>
      </c>
      <c r="H21" s="31">
        <v>2017</v>
      </c>
      <c r="I21" s="32">
        <f>(7.07+3.89+1.39)</f>
        <v>12.350000000000001</v>
      </c>
      <c r="J21" s="33">
        <f aca="true" t="shared" si="2" ref="J21:J90">T21+U21+V21</f>
        <v>12.350000000000001</v>
      </c>
      <c r="K21" s="34">
        <v>0</v>
      </c>
      <c r="L21" s="30"/>
      <c r="M21" s="30">
        <v>1</v>
      </c>
      <c r="N21" s="35"/>
      <c r="O21" s="35"/>
      <c r="P21" s="35"/>
      <c r="Q21" s="35"/>
      <c r="R21" s="30"/>
      <c r="S21" s="30">
        <f aca="true" t="shared" si="3" ref="S21:S26">M21+O21+Q21</f>
        <v>1</v>
      </c>
      <c r="T21" s="32">
        <f aca="true" t="shared" si="4" ref="T21:T41">I21</f>
        <v>12.350000000000001</v>
      </c>
      <c r="U21" s="36"/>
      <c r="V21" s="36"/>
      <c r="W21" s="37">
        <f t="shared" si="0"/>
        <v>12.350000000000001</v>
      </c>
    </row>
    <row r="22" spans="1:23" ht="54" customHeight="1">
      <c r="A22" s="38" t="s">
        <v>599</v>
      </c>
      <c r="B22" s="28" t="s">
        <v>324</v>
      </c>
      <c r="C22" s="29" t="s">
        <v>598</v>
      </c>
      <c r="D22" s="30"/>
      <c r="E22" s="30"/>
      <c r="F22" s="30">
        <v>0</v>
      </c>
      <c r="G22" s="31">
        <v>2017</v>
      </c>
      <c r="H22" s="31">
        <v>2018</v>
      </c>
      <c r="I22" s="32">
        <f>(1.12+0.096)+(1.09+0.115)</f>
        <v>2.4210000000000003</v>
      </c>
      <c r="J22" s="33">
        <f t="shared" si="2"/>
        <v>2.4210000000000003</v>
      </c>
      <c r="K22" s="34">
        <v>0</v>
      </c>
      <c r="L22" s="30"/>
      <c r="M22" s="30"/>
      <c r="N22" s="35"/>
      <c r="O22" s="35"/>
      <c r="P22" s="35"/>
      <c r="Q22" s="35"/>
      <c r="R22" s="30"/>
      <c r="S22" s="30">
        <f t="shared" si="3"/>
        <v>0</v>
      </c>
      <c r="T22" s="32">
        <f>(1.12+0.096)</f>
        <v>1.2160000000000002</v>
      </c>
      <c r="U22" s="36">
        <f>(1.09+0.115)</f>
        <v>1.205</v>
      </c>
      <c r="V22" s="36"/>
      <c r="W22" s="37">
        <f t="shared" si="0"/>
        <v>2.4210000000000003</v>
      </c>
    </row>
    <row r="23" spans="1:23" ht="42.75" customHeight="1">
      <c r="A23" s="38" t="s">
        <v>600</v>
      </c>
      <c r="B23" s="28" t="s">
        <v>325</v>
      </c>
      <c r="C23" s="30" t="s">
        <v>601</v>
      </c>
      <c r="D23" s="30"/>
      <c r="E23" s="30"/>
      <c r="F23" s="30">
        <v>0</v>
      </c>
      <c r="G23" s="31">
        <v>2017</v>
      </c>
      <c r="H23" s="31">
        <v>2017</v>
      </c>
      <c r="I23" s="32">
        <f>0.4</f>
        <v>0.4</v>
      </c>
      <c r="J23" s="33">
        <f t="shared" si="2"/>
        <v>0.4</v>
      </c>
      <c r="K23" s="34">
        <v>0</v>
      </c>
      <c r="L23" s="30"/>
      <c r="M23" s="30"/>
      <c r="N23" s="35"/>
      <c r="O23" s="35"/>
      <c r="P23" s="35"/>
      <c r="Q23" s="35"/>
      <c r="R23" s="30"/>
      <c r="S23" s="30">
        <f t="shared" si="3"/>
        <v>0</v>
      </c>
      <c r="T23" s="32">
        <f t="shared" si="4"/>
        <v>0.4</v>
      </c>
      <c r="U23" s="36"/>
      <c r="V23" s="36"/>
      <c r="W23" s="37">
        <f t="shared" si="0"/>
        <v>0.4</v>
      </c>
    </row>
    <row r="24" spans="1:23" ht="27.75" customHeight="1">
      <c r="A24" s="38" t="s">
        <v>602</v>
      </c>
      <c r="B24" s="28" t="s">
        <v>603</v>
      </c>
      <c r="C24" s="29" t="s">
        <v>598</v>
      </c>
      <c r="D24" s="30"/>
      <c r="E24" s="30"/>
      <c r="F24" s="30">
        <v>0</v>
      </c>
      <c r="G24" s="31">
        <v>2017</v>
      </c>
      <c r="H24" s="31">
        <v>2017</v>
      </c>
      <c r="I24" s="32">
        <f>(1.08+0.08)</f>
        <v>1.1600000000000001</v>
      </c>
      <c r="J24" s="33">
        <f t="shared" si="2"/>
        <v>1.1600000000000001</v>
      </c>
      <c r="K24" s="34">
        <v>0</v>
      </c>
      <c r="L24" s="30"/>
      <c r="M24" s="30"/>
      <c r="N24" s="35"/>
      <c r="O24" s="35"/>
      <c r="P24" s="35"/>
      <c r="Q24" s="35"/>
      <c r="R24" s="30"/>
      <c r="S24" s="30">
        <f t="shared" si="3"/>
        <v>0</v>
      </c>
      <c r="T24" s="32">
        <f t="shared" si="4"/>
        <v>1.1600000000000001</v>
      </c>
      <c r="U24" s="36"/>
      <c r="V24" s="36"/>
      <c r="W24" s="37">
        <f t="shared" si="0"/>
        <v>1.1600000000000001</v>
      </c>
    </row>
    <row r="25" spans="1:23" ht="27.75" customHeight="1">
      <c r="A25" s="38" t="s">
        <v>604</v>
      </c>
      <c r="B25" s="28" t="s">
        <v>605</v>
      </c>
      <c r="C25" s="29" t="s">
        <v>598</v>
      </c>
      <c r="D25" s="30"/>
      <c r="E25" s="30"/>
      <c r="F25" s="30">
        <v>0</v>
      </c>
      <c r="G25" s="31">
        <v>2017</v>
      </c>
      <c r="H25" s="31">
        <v>2017</v>
      </c>
      <c r="I25" s="32">
        <f>0.4+1.63+0.34</f>
        <v>2.3699999999999997</v>
      </c>
      <c r="J25" s="33">
        <f t="shared" si="2"/>
        <v>2.3699999999999997</v>
      </c>
      <c r="K25" s="34">
        <v>0</v>
      </c>
      <c r="L25" s="30"/>
      <c r="M25" s="30"/>
      <c r="N25" s="35"/>
      <c r="O25" s="35"/>
      <c r="P25" s="35"/>
      <c r="Q25" s="35"/>
      <c r="R25" s="30"/>
      <c r="S25" s="30">
        <f t="shared" si="3"/>
        <v>0</v>
      </c>
      <c r="T25" s="32">
        <f t="shared" si="4"/>
        <v>2.3699999999999997</v>
      </c>
      <c r="U25" s="36"/>
      <c r="V25" s="36"/>
      <c r="W25" s="37">
        <f t="shared" si="0"/>
        <v>2.3699999999999997</v>
      </c>
    </row>
    <row r="26" spans="1:23" ht="45" customHeight="1">
      <c r="A26" s="38" t="s">
        <v>606</v>
      </c>
      <c r="B26" s="28" t="s">
        <v>607</v>
      </c>
      <c r="C26" s="29" t="s">
        <v>598</v>
      </c>
      <c r="D26" s="30"/>
      <c r="E26" s="30"/>
      <c r="F26" s="30">
        <v>0</v>
      </c>
      <c r="G26" s="31">
        <v>2017</v>
      </c>
      <c r="H26" s="31">
        <v>2017</v>
      </c>
      <c r="I26" s="32">
        <f>(1.08+0.08)</f>
        <v>1.1600000000000001</v>
      </c>
      <c r="J26" s="33">
        <f t="shared" si="2"/>
        <v>1.1600000000000001</v>
      </c>
      <c r="K26" s="34">
        <v>0</v>
      </c>
      <c r="L26" s="30"/>
      <c r="M26" s="30"/>
      <c r="N26" s="35"/>
      <c r="O26" s="35"/>
      <c r="P26" s="35"/>
      <c r="Q26" s="35"/>
      <c r="R26" s="30"/>
      <c r="S26" s="30">
        <f t="shared" si="3"/>
        <v>0</v>
      </c>
      <c r="T26" s="32">
        <f t="shared" si="4"/>
        <v>1.1600000000000001</v>
      </c>
      <c r="U26" s="36"/>
      <c r="V26" s="36"/>
      <c r="W26" s="37">
        <f t="shared" si="0"/>
        <v>1.1600000000000001</v>
      </c>
    </row>
    <row r="27" spans="1:23" ht="15.75">
      <c r="A27" s="38" t="s">
        <v>608</v>
      </c>
      <c r="B27" s="28" t="s">
        <v>609</v>
      </c>
      <c r="C27" s="29" t="s">
        <v>598</v>
      </c>
      <c r="D27" s="30">
        <v>8</v>
      </c>
      <c r="E27" s="30"/>
      <c r="F27" s="30">
        <v>19.3</v>
      </c>
      <c r="G27" s="31">
        <v>2017</v>
      </c>
      <c r="H27" s="31">
        <v>2017</v>
      </c>
      <c r="I27" s="32">
        <f>(31.29+5.93+1.42)</f>
        <v>38.64</v>
      </c>
      <c r="J27" s="33">
        <f t="shared" si="2"/>
        <v>38.64</v>
      </c>
      <c r="K27" s="34">
        <v>0</v>
      </c>
      <c r="L27" s="30">
        <v>8</v>
      </c>
      <c r="M27" s="30"/>
      <c r="N27" s="35"/>
      <c r="O27" s="35"/>
      <c r="P27" s="35"/>
      <c r="Q27" s="35"/>
      <c r="R27" s="30">
        <f aca="true" t="shared" si="5" ref="R27:R35">L27+N27+P27</f>
        <v>8</v>
      </c>
      <c r="S27" s="30"/>
      <c r="T27" s="32">
        <f t="shared" si="4"/>
        <v>38.64</v>
      </c>
      <c r="U27" s="36"/>
      <c r="V27" s="36"/>
      <c r="W27" s="37">
        <f t="shared" si="0"/>
        <v>38.64</v>
      </c>
    </row>
    <row r="28" spans="1:23" ht="15.75">
      <c r="A28" s="38" t="s">
        <v>610</v>
      </c>
      <c r="B28" s="28" t="s">
        <v>611</v>
      </c>
      <c r="C28" s="30" t="s">
        <v>601</v>
      </c>
      <c r="D28" s="30"/>
      <c r="E28" s="30"/>
      <c r="F28" s="30">
        <v>0</v>
      </c>
      <c r="G28" s="31">
        <v>2017</v>
      </c>
      <c r="H28" s="31">
        <v>2017</v>
      </c>
      <c r="I28" s="32">
        <f>(6.51+6.92+0.87)</f>
        <v>14.299999999999999</v>
      </c>
      <c r="J28" s="33">
        <f t="shared" si="2"/>
        <v>14.299999999999999</v>
      </c>
      <c r="K28" s="34">
        <v>0</v>
      </c>
      <c r="L28" s="30"/>
      <c r="M28" s="30"/>
      <c r="N28" s="35"/>
      <c r="O28" s="35"/>
      <c r="P28" s="35"/>
      <c r="Q28" s="35"/>
      <c r="R28" s="30">
        <f t="shared" si="5"/>
        <v>0</v>
      </c>
      <c r="S28" s="30"/>
      <c r="T28" s="32">
        <f t="shared" si="4"/>
        <v>14.299999999999999</v>
      </c>
      <c r="U28" s="36"/>
      <c r="V28" s="36"/>
      <c r="W28" s="37">
        <f t="shared" si="0"/>
        <v>14.299999999999999</v>
      </c>
    </row>
    <row r="29" spans="1:23" ht="15.75">
      <c r="A29" s="38" t="s">
        <v>612</v>
      </c>
      <c r="B29" s="28" t="s">
        <v>613</v>
      </c>
      <c r="C29" s="30" t="s">
        <v>601</v>
      </c>
      <c r="D29" s="30"/>
      <c r="E29" s="30"/>
      <c r="F29" s="30">
        <v>0</v>
      </c>
      <c r="G29" s="31">
        <v>2017</v>
      </c>
      <c r="H29" s="31">
        <v>2017</v>
      </c>
      <c r="I29" s="32">
        <v>2.45</v>
      </c>
      <c r="J29" s="33">
        <f t="shared" si="2"/>
        <v>2.45</v>
      </c>
      <c r="K29" s="34">
        <v>0</v>
      </c>
      <c r="L29" s="30"/>
      <c r="M29" s="30"/>
      <c r="N29" s="35"/>
      <c r="O29" s="35"/>
      <c r="P29" s="35"/>
      <c r="Q29" s="35"/>
      <c r="R29" s="30">
        <f t="shared" si="5"/>
        <v>0</v>
      </c>
      <c r="S29" s="30"/>
      <c r="T29" s="32">
        <f t="shared" si="4"/>
        <v>2.45</v>
      </c>
      <c r="U29" s="36"/>
      <c r="V29" s="36"/>
      <c r="W29" s="37">
        <f t="shared" si="0"/>
        <v>2.45</v>
      </c>
    </row>
    <row r="30" spans="1:23" ht="15.75">
      <c r="A30" s="38" t="s">
        <v>614</v>
      </c>
      <c r="B30" s="39" t="s">
        <v>615</v>
      </c>
      <c r="C30" s="29" t="s">
        <v>598</v>
      </c>
      <c r="D30" s="30">
        <v>1.26</v>
      </c>
      <c r="E30" s="30"/>
      <c r="F30" s="30">
        <v>0.1</v>
      </c>
      <c r="G30" s="31">
        <v>2017</v>
      </c>
      <c r="H30" s="31">
        <v>2017</v>
      </c>
      <c r="I30" s="32">
        <f>(7.6+0.36)</f>
        <v>7.96</v>
      </c>
      <c r="J30" s="33">
        <f t="shared" si="2"/>
        <v>7.96</v>
      </c>
      <c r="K30" s="34">
        <v>0</v>
      </c>
      <c r="L30" s="30">
        <v>1.26</v>
      </c>
      <c r="M30" s="30"/>
      <c r="N30" s="35"/>
      <c r="O30" s="35"/>
      <c r="P30" s="35"/>
      <c r="Q30" s="35"/>
      <c r="R30" s="30">
        <f t="shared" si="5"/>
        <v>1.26</v>
      </c>
      <c r="S30" s="30"/>
      <c r="T30" s="32">
        <f t="shared" si="4"/>
        <v>7.96</v>
      </c>
      <c r="U30" s="36"/>
      <c r="V30" s="36"/>
      <c r="W30" s="37">
        <f t="shared" si="0"/>
        <v>7.96</v>
      </c>
    </row>
    <row r="31" spans="1:23" ht="15.75">
      <c r="A31" s="38" t="s">
        <v>616</v>
      </c>
      <c r="B31" s="39" t="s">
        <v>617</v>
      </c>
      <c r="C31" s="30" t="s">
        <v>601</v>
      </c>
      <c r="D31" s="30"/>
      <c r="E31" s="30"/>
      <c r="F31" s="30">
        <v>0</v>
      </c>
      <c r="G31" s="31">
        <v>2017</v>
      </c>
      <c r="H31" s="31">
        <v>2017</v>
      </c>
      <c r="I31" s="32">
        <v>2.85</v>
      </c>
      <c r="J31" s="33">
        <f t="shared" si="2"/>
        <v>2.85</v>
      </c>
      <c r="K31" s="34">
        <v>0</v>
      </c>
      <c r="L31" s="30"/>
      <c r="M31" s="30"/>
      <c r="N31" s="35"/>
      <c r="O31" s="35"/>
      <c r="P31" s="35"/>
      <c r="Q31" s="35"/>
      <c r="R31" s="30">
        <f t="shared" si="5"/>
        <v>0</v>
      </c>
      <c r="S31" s="30"/>
      <c r="T31" s="32">
        <f t="shared" si="4"/>
        <v>2.85</v>
      </c>
      <c r="U31" s="36"/>
      <c r="V31" s="36"/>
      <c r="W31" s="37">
        <f t="shared" si="0"/>
        <v>2.85</v>
      </c>
    </row>
    <row r="32" spans="1:23" ht="15.75">
      <c r="A32" s="38" t="s">
        <v>618</v>
      </c>
      <c r="B32" s="28" t="s">
        <v>619</v>
      </c>
      <c r="C32" s="29" t="s">
        <v>598</v>
      </c>
      <c r="D32" s="30"/>
      <c r="E32" s="30"/>
      <c r="F32" s="30">
        <v>0</v>
      </c>
      <c r="G32" s="31">
        <v>2017</v>
      </c>
      <c r="H32" s="31">
        <v>2017</v>
      </c>
      <c r="I32" s="32">
        <f>(0.73+0.03)</f>
        <v>0.76</v>
      </c>
      <c r="J32" s="33">
        <f t="shared" si="2"/>
        <v>0.76</v>
      </c>
      <c r="K32" s="34">
        <v>0</v>
      </c>
      <c r="L32" s="30"/>
      <c r="M32" s="30"/>
      <c r="N32" s="35"/>
      <c r="O32" s="35"/>
      <c r="P32" s="35"/>
      <c r="Q32" s="35"/>
      <c r="R32" s="30">
        <f t="shared" si="5"/>
        <v>0</v>
      </c>
      <c r="S32" s="30"/>
      <c r="T32" s="32">
        <f t="shared" si="4"/>
        <v>0.76</v>
      </c>
      <c r="U32" s="36"/>
      <c r="V32" s="36"/>
      <c r="W32" s="37">
        <f t="shared" si="0"/>
        <v>0.76</v>
      </c>
    </row>
    <row r="33" spans="1:23" ht="15.75">
      <c r="A33" s="38" t="s">
        <v>620</v>
      </c>
      <c r="B33" s="28" t="s">
        <v>621</v>
      </c>
      <c r="C33" s="29" t="s">
        <v>598</v>
      </c>
      <c r="D33" s="30">
        <v>0.4</v>
      </c>
      <c r="E33" s="30"/>
      <c r="F33" s="30">
        <v>1.6</v>
      </c>
      <c r="G33" s="31">
        <v>2017</v>
      </c>
      <c r="H33" s="31">
        <v>2017</v>
      </c>
      <c r="I33" s="32">
        <f>(0.8+0.07)</f>
        <v>0.8700000000000001</v>
      </c>
      <c r="J33" s="33">
        <f t="shared" si="2"/>
        <v>0.8700000000000001</v>
      </c>
      <c r="K33" s="34">
        <v>0</v>
      </c>
      <c r="L33" s="30">
        <v>0.4</v>
      </c>
      <c r="M33" s="30"/>
      <c r="N33" s="35"/>
      <c r="O33" s="35"/>
      <c r="P33" s="35"/>
      <c r="Q33" s="35"/>
      <c r="R33" s="30">
        <f t="shared" si="5"/>
        <v>0.4</v>
      </c>
      <c r="S33" s="30"/>
      <c r="T33" s="32">
        <f t="shared" si="4"/>
        <v>0.8700000000000001</v>
      </c>
      <c r="U33" s="36"/>
      <c r="V33" s="36"/>
      <c r="W33" s="37">
        <f t="shared" si="0"/>
        <v>0.8700000000000001</v>
      </c>
    </row>
    <row r="34" spans="1:23" ht="21" customHeight="1">
      <c r="A34" s="38" t="s">
        <v>622</v>
      </c>
      <c r="B34" s="28" t="s">
        <v>623</v>
      </c>
      <c r="C34" s="29" t="s">
        <v>598</v>
      </c>
      <c r="D34" s="30">
        <v>1.26</v>
      </c>
      <c r="E34" s="30"/>
      <c r="F34" s="30">
        <v>15.21</v>
      </c>
      <c r="G34" s="31">
        <v>2017</v>
      </c>
      <c r="H34" s="31">
        <v>2017</v>
      </c>
      <c r="I34" s="32">
        <f>12.6+1.42</f>
        <v>14.02</v>
      </c>
      <c r="J34" s="33">
        <f t="shared" si="2"/>
        <v>14.02</v>
      </c>
      <c r="K34" s="34">
        <v>0</v>
      </c>
      <c r="L34" s="30">
        <v>1.26</v>
      </c>
      <c r="M34" s="30"/>
      <c r="N34" s="35"/>
      <c r="O34" s="35"/>
      <c r="P34" s="35"/>
      <c r="Q34" s="35"/>
      <c r="R34" s="30">
        <f t="shared" si="5"/>
        <v>1.26</v>
      </c>
      <c r="S34" s="30"/>
      <c r="T34" s="32">
        <f t="shared" si="4"/>
        <v>14.02</v>
      </c>
      <c r="U34" s="36"/>
      <c r="V34" s="36"/>
      <c r="W34" s="37">
        <f t="shared" si="0"/>
        <v>14.02</v>
      </c>
    </row>
    <row r="35" spans="1:23" ht="20.25" customHeight="1">
      <c r="A35" s="38" t="s">
        <v>624</v>
      </c>
      <c r="B35" s="28" t="s">
        <v>625</v>
      </c>
      <c r="C35" s="29" t="s">
        <v>598</v>
      </c>
      <c r="D35" s="30">
        <v>0.8</v>
      </c>
      <c r="E35" s="30"/>
      <c r="F35" s="30">
        <v>1.3</v>
      </c>
      <c r="G35" s="31">
        <v>2017</v>
      </c>
      <c r="H35" s="31">
        <v>2017</v>
      </c>
      <c r="I35" s="32">
        <f>1.97+0.13</f>
        <v>2.1</v>
      </c>
      <c r="J35" s="33">
        <f t="shared" si="2"/>
        <v>2.1</v>
      </c>
      <c r="K35" s="34">
        <v>0</v>
      </c>
      <c r="L35" s="30">
        <v>0.8</v>
      </c>
      <c r="M35" s="30"/>
      <c r="N35" s="35"/>
      <c r="O35" s="35"/>
      <c r="P35" s="35"/>
      <c r="Q35" s="35"/>
      <c r="R35" s="30">
        <f t="shared" si="5"/>
        <v>0.8</v>
      </c>
      <c r="S35" s="30"/>
      <c r="T35" s="32">
        <f t="shared" si="4"/>
        <v>2.1</v>
      </c>
      <c r="U35" s="36"/>
      <c r="V35" s="36"/>
      <c r="W35" s="37">
        <f t="shared" si="0"/>
        <v>2.1</v>
      </c>
    </row>
    <row r="36" spans="1:23" ht="18.75" customHeight="1">
      <c r="A36" s="38" t="s">
        <v>626</v>
      </c>
      <c r="B36" s="28" t="s">
        <v>627</v>
      </c>
      <c r="C36" s="29" t="s">
        <v>598</v>
      </c>
      <c r="D36" s="30"/>
      <c r="E36" s="30">
        <v>0.53</v>
      </c>
      <c r="F36" s="30">
        <v>0.02</v>
      </c>
      <c r="G36" s="31">
        <v>2017</v>
      </c>
      <c r="H36" s="31">
        <v>2017</v>
      </c>
      <c r="I36" s="32">
        <f>(0.72+0.18)</f>
        <v>0.8999999999999999</v>
      </c>
      <c r="J36" s="33">
        <f t="shared" si="2"/>
        <v>0.8999999999999999</v>
      </c>
      <c r="K36" s="34">
        <v>0</v>
      </c>
      <c r="L36" s="30"/>
      <c r="M36" s="30">
        <v>0.53</v>
      </c>
      <c r="N36" s="35"/>
      <c r="O36" s="35"/>
      <c r="P36" s="35"/>
      <c r="Q36" s="35"/>
      <c r="R36" s="30"/>
      <c r="S36" s="30">
        <f aca="true" t="shared" si="6" ref="S36:S68">M36+O36+Q36</f>
        <v>0.53</v>
      </c>
      <c r="T36" s="32">
        <f t="shared" si="4"/>
        <v>0.8999999999999999</v>
      </c>
      <c r="U36" s="36"/>
      <c r="V36" s="36"/>
      <c r="W36" s="37">
        <f t="shared" si="0"/>
        <v>0.8999999999999999</v>
      </c>
    </row>
    <row r="37" spans="1:23" ht="34.5" customHeight="1">
      <c r="A37" s="38" t="s">
        <v>628</v>
      </c>
      <c r="B37" s="28" t="s">
        <v>629</v>
      </c>
      <c r="C37" s="30" t="s">
        <v>601</v>
      </c>
      <c r="D37" s="30"/>
      <c r="E37" s="30">
        <v>0.22</v>
      </c>
      <c r="F37" s="30">
        <v>0</v>
      </c>
      <c r="G37" s="31">
        <v>2017</v>
      </c>
      <c r="H37" s="31">
        <v>2017</v>
      </c>
      <c r="I37" s="32">
        <f>0.3</f>
        <v>0.30000000000000004</v>
      </c>
      <c r="J37" s="33">
        <f t="shared" si="2"/>
        <v>0.30000000000000004</v>
      </c>
      <c r="K37" s="34">
        <v>0</v>
      </c>
      <c r="L37" s="30"/>
      <c r="M37" s="30">
        <v>0.22</v>
      </c>
      <c r="N37" s="35"/>
      <c r="O37" s="35"/>
      <c r="P37" s="35"/>
      <c r="Q37" s="35"/>
      <c r="R37" s="30"/>
      <c r="S37" s="30">
        <f t="shared" si="6"/>
        <v>0.22</v>
      </c>
      <c r="T37" s="32">
        <f t="shared" si="4"/>
        <v>0.30000000000000004</v>
      </c>
      <c r="U37" s="36"/>
      <c r="V37" s="36"/>
      <c r="W37" s="37">
        <f t="shared" si="0"/>
        <v>0.30000000000000004</v>
      </c>
    </row>
    <row r="38" spans="1:23" ht="34.5" customHeight="1">
      <c r="A38" s="38" t="s">
        <v>630</v>
      </c>
      <c r="B38" s="28" t="s">
        <v>631</v>
      </c>
      <c r="C38" s="30" t="s">
        <v>601</v>
      </c>
      <c r="D38" s="30"/>
      <c r="E38" s="30">
        <v>0.7</v>
      </c>
      <c r="F38" s="30">
        <v>0</v>
      </c>
      <c r="G38" s="31">
        <v>2017</v>
      </c>
      <c r="H38" s="31">
        <v>2017</v>
      </c>
      <c r="I38" s="32">
        <f>0.96</f>
        <v>0.96</v>
      </c>
      <c r="J38" s="33">
        <f t="shared" si="2"/>
        <v>0.96</v>
      </c>
      <c r="K38" s="34">
        <v>0</v>
      </c>
      <c r="L38" s="30"/>
      <c r="M38" s="30">
        <v>0.7</v>
      </c>
      <c r="N38" s="35"/>
      <c r="O38" s="35"/>
      <c r="P38" s="35"/>
      <c r="Q38" s="35"/>
      <c r="R38" s="30"/>
      <c r="S38" s="30">
        <f t="shared" si="6"/>
        <v>0.7</v>
      </c>
      <c r="T38" s="32">
        <f t="shared" si="4"/>
        <v>0.96</v>
      </c>
      <c r="U38" s="36"/>
      <c r="V38" s="36"/>
      <c r="W38" s="37">
        <f t="shared" si="0"/>
        <v>0.96</v>
      </c>
    </row>
    <row r="39" spans="1:23" ht="34.5" customHeight="1">
      <c r="A39" s="38" t="s">
        <v>632</v>
      </c>
      <c r="B39" s="28" t="s">
        <v>633</v>
      </c>
      <c r="C39" s="30" t="s">
        <v>601</v>
      </c>
      <c r="D39" s="30"/>
      <c r="E39" s="30">
        <v>0.86</v>
      </c>
      <c r="F39" s="30">
        <v>0</v>
      </c>
      <c r="G39" s="31">
        <v>2017</v>
      </c>
      <c r="H39" s="31">
        <v>2017</v>
      </c>
      <c r="I39" s="32">
        <f>1.06</f>
        <v>1.06</v>
      </c>
      <c r="J39" s="33">
        <f t="shared" si="2"/>
        <v>1.06</v>
      </c>
      <c r="K39" s="34">
        <v>0</v>
      </c>
      <c r="L39" s="30"/>
      <c r="M39" s="30">
        <v>0.86</v>
      </c>
      <c r="N39" s="35"/>
      <c r="O39" s="35"/>
      <c r="P39" s="35"/>
      <c r="Q39" s="35"/>
      <c r="R39" s="30"/>
      <c r="S39" s="30">
        <f t="shared" si="6"/>
        <v>0.86</v>
      </c>
      <c r="T39" s="32">
        <f t="shared" si="4"/>
        <v>1.06</v>
      </c>
      <c r="U39" s="36"/>
      <c r="V39" s="36"/>
      <c r="W39" s="37">
        <f t="shared" si="0"/>
        <v>1.06</v>
      </c>
    </row>
    <row r="40" spans="1:23" ht="36" customHeight="1">
      <c r="A40" s="38" t="s">
        <v>634</v>
      </c>
      <c r="B40" s="28" t="s">
        <v>635</v>
      </c>
      <c r="C40" s="30" t="s">
        <v>601</v>
      </c>
      <c r="D40" s="30"/>
      <c r="E40" s="30">
        <v>0.35</v>
      </c>
      <c r="F40" s="30">
        <v>3.4</v>
      </c>
      <c r="G40" s="31">
        <v>2017</v>
      </c>
      <c r="H40" s="31">
        <v>2017</v>
      </c>
      <c r="I40" s="32">
        <f>0.42</f>
        <v>0.42</v>
      </c>
      <c r="J40" s="33">
        <f t="shared" si="2"/>
        <v>0.42</v>
      </c>
      <c r="K40" s="34">
        <v>0</v>
      </c>
      <c r="L40" s="30"/>
      <c r="M40" s="30">
        <v>0.35</v>
      </c>
      <c r="N40" s="35"/>
      <c r="O40" s="35"/>
      <c r="P40" s="35"/>
      <c r="Q40" s="35"/>
      <c r="R40" s="30"/>
      <c r="S40" s="30">
        <f t="shared" si="6"/>
        <v>0.35</v>
      </c>
      <c r="T40" s="32">
        <f t="shared" si="4"/>
        <v>0.42</v>
      </c>
      <c r="U40" s="36"/>
      <c r="V40" s="36"/>
      <c r="W40" s="37">
        <f t="shared" si="0"/>
        <v>0.42</v>
      </c>
    </row>
    <row r="41" spans="1:23" ht="38.25" customHeight="1">
      <c r="A41" s="38" t="s">
        <v>636</v>
      </c>
      <c r="B41" s="28" t="s">
        <v>637</v>
      </c>
      <c r="C41" s="30" t="s">
        <v>601</v>
      </c>
      <c r="D41" s="30"/>
      <c r="E41" s="30">
        <v>0.29</v>
      </c>
      <c r="F41" s="30">
        <v>0.02</v>
      </c>
      <c r="G41" s="31">
        <v>2017</v>
      </c>
      <c r="H41" s="31">
        <v>2017</v>
      </c>
      <c r="I41" s="32">
        <f>0.4</f>
        <v>0.4</v>
      </c>
      <c r="J41" s="33">
        <f t="shared" si="2"/>
        <v>0.4</v>
      </c>
      <c r="K41" s="34">
        <v>0</v>
      </c>
      <c r="L41" s="30"/>
      <c r="M41" s="30">
        <v>0.29</v>
      </c>
      <c r="N41" s="35"/>
      <c r="O41" s="35"/>
      <c r="P41" s="35"/>
      <c r="Q41" s="35"/>
      <c r="R41" s="30"/>
      <c r="S41" s="30">
        <f t="shared" si="6"/>
        <v>0.29</v>
      </c>
      <c r="T41" s="32">
        <f t="shared" si="4"/>
        <v>0.4</v>
      </c>
      <c r="U41" s="36"/>
      <c r="V41" s="36"/>
      <c r="W41" s="37">
        <f t="shared" si="0"/>
        <v>0.4</v>
      </c>
    </row>
    <row r="42" spans="1:23" ht="15.75">
      <c r="A42" s="38" t="s">
        <v>638</v>
      </c>
      <c r="B42" s="40" t="s">
        <v>640</v>
      </c>
      <c r="C42" s="29" t="s">
        <v>598</v>
      </c>
      <c r="D42" s="30"/>
      <c r="E42" s="31"/>
      <c r="F42" s="31">
        <v>0</v>
      </c>
      <c r="G42" s="31">
        <v>2018</v>
      </c>
      <c r="H42" s="31">
        <v>2018</v>
      </c>
      <c r="I42" s="32">
        <f>1.27+0.134</f>
        <v>1.404</v>
      </c>
      <c r="J42" s="33">
        <f t="shared" si="2"/>
        <v>1.404</v>
      </c>
      <c r="K42" s="34">
        <v>0</v>
      </c>
      <c r="L42" s="30"/>
      <c r="M42" s="30"/>
      <c r="N42" s="30"/>
      <c r="O42" s="31"/>
      <c r="P42" s="35"/>
      <c r="Q42" s="35"/>
      <c r="R42" s="30"/>
      <c r="S42" s="30">
        <f t="shared" si="6"/>
        <v>0</v>
      </c>
      <c r="T42" s="32"/>
      <c r="U42" s="32">
        <f aca="true" t="shared" si="7" ref="U42:U65">I42</f>
        <v>1.404</v>
      </c>
      <c r="V42" s="36"/>
      <c r="W42" s="37">
        <f t="shared" si="0"/>
        <v>1.404</v>
      </c>
    </row>
    <row r="43" spans="1:23" ht="15.75">
      <c r="A43" s="38" t="s">
        <v>639</v>
      </c>
      <c r="B43" s="40" t="s">
        <v>642</v>
      </c>
      <c r="C43" s="29" t="s">
        <v>598</v>
      </c>
      <c r="D43" s="30"/>
      <c r="E43" s="31">
        <v>0.54</v>
      </c>
      <c r="F43" s="31">
        <v>0</v>
      </c>
      <c r="G43" s="31">
        <v>2018</v>
      </c>
      <c r="H43" s="31">
        <v>2018</v>
      </c>
      <c r="I43" s="32">
        <f>0.28+0.014</f>
        <v>0.29400000000000004</v>
      </c>
      <c r="J43" s="33">
        <f t="shared" si="2"/>
        <v>0.29400000000000004</v>
      </c>
      <c r="K43" s="34">
        <v>0</v>
      </c>
      <c r="L43" s="30"/>
      <c r="M43" s="30"/>
      <c r="N43" s="30"/>
      <c r="O43" s="31">
        <v>0.54</v>
      </c>
      <c r="P43" s="35"/>
      <c r="Q43" s="35"/>
      <c r="R43" s="30"/>
      <c r="S43" s="30">
        <f t="shared" si="6"/>
        <v>0.54</v>
      </c>
      <c r="T43" s="32"/>
      <c r="U43" s="32">
        <f t="shared" si="7"/>
        <v>0.29400000000000004</v>
      </c>
      <c r="V43" s="36"/>
      <c r="W43" s="37">
        <f t="shared" si="0"/>
        <v>0.29400000000000004</v>
      </c>
    </row>
    <row r="44" spans="1:23" ht="36.75" customHeight="1">
      <c r="A44" s="38" t="s">
        <v>641</v>
      </c>
      <c r="B44" s="40" t="s">
        <v>96</v>
      </c>
      <c r="C44" s="29" t="s">
        <v>598</v>
      </c>
      <c r="D44" s="30"/>
      <c r="E44" s="30"/>
      <c r="F44" s="30">
        <v>0</v>
      </c>
      <c r="G44" s="31">
        <v>2018</v>
      </c>
      <c r="H44" s="31">
        <v>2018</v>
      </c>
      <c r="I44" s="32">
        <f>1.09+0.111</f>
        <v>1.201</v>
      </c>
      <c r="J44" s="33">
        <f t="shared" si="2"/>
        <v>1.201</v>
      </c>
      <c r="K44" s="34">
        <v>0</v>
      </c>
      <c r="L44" s="30"/>
      <c r="M44" s="30"/>
      <c r="N44" s="30"/>
      <c r="O44" s="30"/>
      <c r="P44" s="35"/>
      <c r="Q44" s="35"/>
      <c r="R44" s="30"/>
      <c r="S44" s="30">
        <f t="shared" si="6"/>
        <v>0</v>
      </c>
      <c r="T44" s="32"/>
      <c r="U44" s="32">
        <f t="shared" si="7"/>
        <v>1.201</v>
      </c>
      <c r="V44" s="36"/>
      <c r="W44" s="37">
        <f t="shared" si="0"/>
        <v>1.201</v>
      </c>
    </row>
    <row r="45" spans="1:23" ht="15.75">
      <c r="A45" s="38" t="s">
        <v>643</v>
      </c>
      <c r="B45" s="40" t="s">
        <v>645</v>
      </c>
      <c r="C45" s="29" t="s">
        <v>598</v>
      </c>
      <c r="D45" s="31"/>
      <c r="E45" s="31"/>
      <c r="F45" s="31">
        <v>0</v>
      </c>
      <c r="G45" s="31">
        <v>2018</v>
      </c>
      <c r="H45" s="31">
        <v>2018</v>
      </c>
      <c r="I45" s="32">
        <f>7.96+0.71+0.545</f>
        <v>9.215</v>
      </c>
      <c r="J45" s="33">
        <f t="shared" si="2"/>
        <v>9.215</v>
      </c>
      <c r="K45" s="34">
        <v>0</v>
      </c>
      <c r="L45" s="31"/>
      <c r="M45" s="31"/>
      <c r="N45" s="31"/>
      <c r="O45" s="31"/>
      <c r="P45" s="35"/>
      <c r="Q45" s="35"/>
      <c r="R45" s="30">
        <f aca="true" t="shared" si="8" ref="R45:R68">L45+N45+P45</f>
        <v>0</v>
      </c>
      <c r="S45" s="30">
        <f t="shared" si="6"/>
        <v>0</v>
      </c>
      <c r="T45" s="32"/>
      <c r="U45" s="32">
        <f t="shared" si="7"/>
        <v>9.215</v>
      </c>
      <c r="V45" s="36"/>
      <c r="W45" s="37">
        <f t="shared" si="0"/>
        <v>9.215</v>
      </c>
    </row>
    <row r="46" spans="1:23" ht="15.75">
      <c r="A46" s="38" t="s">
        <v>644</v>
      </c>
      <c r="B46" s="40" t="s">
        <v>647</v>
      </c>
      <c r="C46" s="29" t="s">
        <v>598</v>
      </c>
      <c r="D46" s="31"/>
      <c r="E46" s="31"/>
      <c r="F46" s="31">
        <v>0</v>
      </c>
      <c r="G46" s="31">
        <v>2018</v>
      </c>
      <c r="H46" s="31">
        <v>2018</v>
      </c>
      <c r="I46" s="32">
        <f>8.36+1.05+4.25+0.54</f>
        <v>14.2</v>
      </c>
      <c r="J46" s="33">
        <f t="shared" si="2"/>
        <v>14.2</v>
      </c>
      <c r="K46" s="34">
        <v>0</v>
      </c>
      <c r="L46" s="31"/>
      <c r="M46" s="31"/>
      <c r="N46" s="31"/>
      <c r="O46" s="31"/>
      <c r="P46" s="35"/>
      <c r="Q46" s="35"/>
      <c r="R46" s="30">
        <f t="shared" si="8"/>
        <v>0</v>
      </c>
      <c r="S46" s="30">
        <f t="shared" si="6"/>
        <v>0</v>
      </c>
      <c r="T46" s="32"/>
      <c r="U46" s="32">
        <f t="shared" si="7"/>
        <v>14.2</v>
      </c>
      <c r="V46" s="36"/>
      <c r="W46" s="37">
        <f t="shared" si="0"/>
        <v>14.2</v>
      </c>
    </row>
    <row r="47" spans="1:23" ht="15.75">
      <c r="A47" s="38" t="s">
        <v>646</v>
      </c>
      <c r="B47" s="40" t="s">
        <v>649</v>
      </c>
      <c r="C47" s="29" t="s">
        <v>598</v>
      </c>
      <c r="D47" s="31">
        <v>20</v>
      </c>
      <c r="E47" s="31"/>
      <c r="F47" s="31">
        <v>0</v>
      </c>
      <c r="G47" s="31">
        <v>2018</v>
      </c>
      <c r="H47" s="31">
        <v>2018</v>
      </c>
      <c r="I47" s="32">
        <f>5.61+35.17+0.525</f>
        <v>41.305</v>
      </c>
      <c r="J47" s="33">
        <f t="shared" si="2"/>
        <v>41.305</v>
      </c>
      <c r="K47" s="34">
        <v>0</v>
      </c>
      <c r="L47" s="31"/>
      <c r="M47" s="31"/>
      <c r="N47" s="31">
        <v>20</v>
      </c>
      <c r="O47" s="31"/>
      <c r="P47" s="35"/>
      <c r="Q47" s="35"/>
      <c r="R47" s="30">
        <f t="shared" si="8"/>
        <v>20</v>
      </c>
      <c r="S47" s="30">
        <f t="shared" si="6"/>
        <v>0</v>
      </c>
      <c r="T47" s="32"/>
      <c r="U47" s="32">
        <f t="shared" si="7"/>
        <v>41.305</v>
      </c>
      <c r="V47" s="36"/>
      <c r="W47" s="37">
        <f t="shared" si="0"/>
        <v>41.305</v>
      </c>
    </row>
    <row r="48" spans="1:23" ht="50.25" customHeight="1">
      <c r="A48" s="38" t="s">
        <v>648</v>
      </c>
      <c r="B48" s="40" t="s">
        <v>651</v>
      </c>
      <c r="C48" s="29" t="s">
        <v>598</v>
      </c>
      <c r="D48" s="31"/>
      <c r="E48" s="31"/>
      <c r="F48" s="31">
        <v>0</v>
      </c>
      <c r="G48" s="31">
        <v>2018</v>
      </c>
      <c r="H48" s="31">
        <v>2018</v>
      </c>
      <c r="I48" s="32">
        <f>6.25+1.01</f>
        <v>7.26</v>
      </c>
      <c r="J48" s="33">
        <f t="shared" si="2"/>
        <v>7.26</v>
      </c>
      <c r="K48" s="34">
        <v>0</v>
      </c>
      <c r="L48" s="31"/>
      <c r="M48" s="31"/>
      <c r="N48" s="31"/>
      <c r="O48" s="31"/>
      <c r="P48" s="35"/>
      <c r="Q48" s="35"/>
      <c r="R48" s="30">
        <f t="shared" si="8"/>
        <v>0</v>
      </c>
      <c r="S48" s="30">
        <f t="shared" si="6"/>
        <v>0</v>
      </c>
      <c r="T48" s="32"/>
      <c r="U48" s="32">
        <f t="shared" si="7"/>
        <v>7.26</v>
      </c>
      <c r="V48" s="36"/>
      <c r="W48" s="37">
        <f t="shared" si="0"/>
        <v>7.26</v>
      </c>
    </row>
    <row r="49" spans="1:23" ht="15.75">
      <c r="A49" s="38" t="s">
        <v>650</v>
      </c>
      <c r="B49" s="28" t="s">
        <v>653</v>
      </c>
      <c r="C49" s="29" t="s">
        <v>598</v>
      </c>
      <c r="D49" s="30"/>
      <c r="E49" s="30"/>
      <c r="F49" s="30">
        <v>0</v>
      </c>
      <c r="G49" s="31">
        <v>2018</v>
      </c>
      <c r="H49" s="31">
        <v>2018</v>
      </c>
      <c r="I49" s="32">
        <f>6.71+0.295</f>
        <v>7.005</v>
      </c>
      <c r="J49" s="33">
        <f t="shared" si="2"/>
        <v>7.005</v>
      </c>
      <c r="K49" s="34">
        <v>0</v>
      </c>
      <c r="L49" s="31"/>
      <c r="M49" s="41"/>
      <c r="N49" s="30"/>
      <c r="O49" s="30"/>
      <c r="P49" s="35"/>
      <c r="Q49" s="35"/>
      <c r="R49" s="30">
        <f t="shared" si="8"/>
        <v>0</v>
      </c>
      <c r="S49" s="30">
        <f t="shared" si="6"/>
        <v>0</v>
      </c>
      <c r="T49" s="32"/>
      <c r="U49" s="32">
        <f t="shared" si="7"/>
        <v>7.005</v>
      </c>
      <c r="V49" s="36"/>
      <c r="W49" s="37">
        <f t="shared" si="0"/>
        <v>7.005</v>
      </c>
    </row>
    <row r="50" spans="1:23" ht="15.75">
      <c r="A50" s="38" t="s">
        <v>652</v>
      </c>
      <c r="B50" s="28" t="s">
        <v>655</v>
      </c>
      <c r="C50" s="29" t="s">
        <v>598</v>
      </c>
      <c r="D50" s="30">
        <v>0</v>
      </c>
      <c r="E50" s="30"/>
      <c r="F50" s="30">
        <v>0</v>
      </c>
      <c r="G50" s="31">
        <v>2018</v>
      </c>
      <c r="H50" s="31">
        <v>2018</v>
      </c>
      <c r="I50" s="32">
        <f>1.29+6.05+0.28</f>
        <v>7.62</v>
      </c>
      <c r="J50" s="33">
        <f t="shared" si="2"/>
        <v>7.62</v>
      </c>
      <c r="K50" s="34">
        <v>0</v>
      </c>
      <c r="L50" s="31"/>
      <c r="M50" s="41"/>
      <c r="N50" s="30">
        <v>0</v>
      </c>
      <c r="O50" s="30"/>
      <c r="P50" s="35"/>
      <c r="Q50" s="35"/>
      <c r="R50" s="30">
        <f t="shared" si="8"/>
        <v>0</v>
      </c>
      <c r="S50" s="30">
        <f t="shared" si="6"/>
        <v>0</v>
      </c>
      <c r="T50" s="32"/>
      <c r="U50" s="32">
        <f t="shared" si="7"/>
        <v>7.62</v>
      </c>
      <c r="V50" s="36"/>
      <c r="W50" s="37">
        <f t="shared" si="0"/>
        <v>7.62</v>
      </c>
    </row>
    <row r="51" spans="1:23" ht="15.75">
      <c r="A51" s="38" t="s">
        <v>654</v>
      </c>
      <c r="B51" s="28" t="s">
        <v>657</v>
      </c>
      <c r="C51" s="29" t="s">
        <v>598</v>
      </c>
      <c r="D51" s="30">
        <v>0</v>
      </c>
      <c r="E51" s="30"/>
      <c r="F51" s="30">
        <v>0</v>
      </c>
      <c r="G51" s="31">
        <v>2018</v>
      </c>
      <c r="H51" s="31">
        <v>2018</v>
      </c>
      <c r="I51" s="32">
        <f>0.28+4.04+0.21</f>
        <v>4.53</v>
      </c>
      <c r="J51" s="33">
        <f t="shared" si="2"/>
        <v>4.53</v>
      </c>
      <c r="K51" s="34">
        <v>0</v>
      </c>
      <c r="L51" s="31"/>
      <c r="M51" s="41"/>
      <c r="N51" s="30">
        <v>0</v>
      </c>
      <c r="O51" s="30"/>
      <c r="P51" s="35"/>
      <c r="Q51" s="35"/>
      <c r="R51" s="30">
        <f t="shared" si="8"/>
        <v>0</v>
      </c>
      <c r="S51" s="30">
        <f t="shared" si="6"/>
        <v>0</v>
      </c>
      <c r="T51" s="32"/>
      <c r="U51" s="32">
        <f t="shared" si="7"/>
        <v>4.53</v>
      </c>
      <c r="V51" s="36"/>
      <c r="W51" s="37">
        <f t="shared" si="0"/>
        <v>4.53</v>
      </c>
    </row>
    <row r="52" spans="1:23" ht="15.75">
      <c r="A52" s="38" t="s">
        <v>656</v>
      </c>
      <c r="B52" s="28" t="s">
        <v>659</v>
      </c>
      <c r="C52" s="29" t="s">
        <v>598</v>
      </c>
      <c r="D52" s="30">
        <v>0</v>
      </c>
      <c r="E52" s="30"/>
      <c r="F52" s="30">
        <v>0</v>
      </c>
      <c r="G52" s="31">
        <v>2018</v>
      </c>
      <c r="H52" s="31">
        <v>2018</v>
      </c>
      <c r="I52" s="32">
        <f>4.56+5.53+0.29</f>
        <v>10.379999999999999</v>
      </c>
      <c r="J52" s="33">
        <f t="shared" si="2"/>
        <v>10.379999999999999</v>
      </c>
      <c r="K52" s="34">
        <v>0</v>
      </c>
      <c r="L52" s="31"/>
      <c r="M52" s="41"/>
      <c r="N52" s="30">
        <v>0</v>
      </c>
      <c r="O52" s="30"/>
      <c r="P52" s="35"/>
      <c r="Q52" s="35"/>
      <c r="R52" s="30">
        <f t="shared" si="8"/>
        <v>0</v>
      </c>
      <c r="S52" s="30">
        <f t="shared" si="6"/>
        <v>0</v>
      </c>
      <c r="T52" s="32"/>
      <c r="U52" s="32">
        <f t="shared" si="7"/>
        <v>10.379999999999999</v>
      </c>
      <c r="V52" s="36"/>
      <c r="W52" s="37">
        <f t="shared" si="0"/>
        <v>10.379999999999999</v>
      </c>
    </row>
    <row r="53" spans="1:23" ht="36.75" customHeight="1">
      <c r="A53" s="38" t="s">
        <v>658</v>
      </c>
      <c r="B53" s="28" t="s">
        <v>661</v>
      </c>
      <c r="C53" s="29" t="s">
        <v>598</v>
      </c>
      <c r="D53" s="30"/>
      <c r="E53" s="30"/>
      <c r="F53" s="30">
        <v>0</v>
      </c>
      <c r="G53" s="31">
        <v>2018</v>
      </c>
      <c r="H53" s="31">
        <v>2018</v>
      </c>
      <c r="I53" s="32">
        <f>1.01+0.051</f>
        <v>1.061</v>
      </c>
      <c r="J53" s="33">
        <f t="shared" si="2"/>
        <v>1.061</v>
      </c>
      <c r="K53" s="34">
        <v>0</v>
      </c>
      <c r="L53" s="31"/>
      <c r="M53" s="41"/>
      <c r="N53" s="30"/>
      <c r="O53" s="30"/>
      <c r="P53" s="35"/>
      <c r="Q53" s="35"/>
      <c r="R53" s="30">
        <f t="shared" si="8"/>
        <v>0</v>
      </c>
      <c r="S53" s="30">
        <f t="shared" si="6"/>
        <v>0</v>
      </c>
      <c r="T53" s="32"/>
      <c r="U53" s="32">
        <f t="shared" si="7"/>
        <v>1.061</v>
      </c>
      <c r="V53" s="36"/>
      <c r="W53" s="37">
        <f t="shared" si="0"/>
        <v>1.061</v>
      </c>
    </row>
    <row r="54" spans="1:23" ht="36.75" customHeight="1">
      <c r="A54" s="38" t="s">
        <v>660</v>
      </c>
      <c r="B54" s="28" t="s">
        <v>663</v>
      </c>
      <c r="C54" s="29" t="s">
        <v>598</v>
      </c>
      <c r="D54" s="30"/>
      <c r="E54" s="30"/>
      <c r="F54" s="30">
        <v>0</v>
      </c>
      <c r="G54" s="31">
        <v>2018</v>
      </c>
      <c r="H54" s="31">
        <v>2018</v>
      </c>
      <c r="I54" s="32">
        <f>1.01+0.051</f>
        <v>1.061</v>
      </c>
      <c r="J54" s="33">
        <f t="shared" si="2"/>
        <v>1.061</v>
      </c>
      <c r="K54" s="34">
        <v>0</v>
      </c>
      <c r="L54" s="31"/>
      <c r="M54" s="41"/>
      <c r="N54" s="30"/>
      <c r="O54" s="30"/>
      <c r="P54" s="35"/>
      <c r="Q54" s="35"/>
      <c r="R54" s="30">
        <f t="shared" si="8"/>
        <v>0</v>
      </c>
      <c r="S54" s="30">
        <f t="shared" si="6"/>
        <v>0</v>
      </c>
      <c r="T54" s="32"/>
      <c r="U54" s="32">
        <f t="shared" si="7"/>
        <v>1.061</v>
      </c>
      <c r="V54" s="36"/>
      <c r="W54" s="37">
        <f t="shared" si="0"/>
        <v>1.061</v>
      </c>
    </row>
    <row r="55" spans="1:23" ht="36.75" customHeight="1">
      <c r="A55" s="38" t="s">
        <v>662</v>
      </c>
      <c r="B55" s="28" t="s">
        <v>665</v>
      </c>
      <c r="C55" s="29" t="s">
        <v>598</v>
      </c>
      <c r="D55" s="30">
        <v>2</v>
      </c>
      <c r="E55" s="30"/>
      <c r="F55" s="30">
        <v>30.4</v>
      </c>
      <c r="G55" s="31">
        <v>2018</v>
      </c>
      <c r="H55" s="31">
        <v>2018</v>
      </c>
      <c r="I55" s="32">
        <f>1.51+0.09</f>
        <v>1.6</v>
      </c>
      <c r="J55" s="33">
        <f t="shared" si="2"/>
        <v>1.6</v>
      </c>
      <c r="K55" s="34">
        <v>0</v>
      </c>
      <c r="L55" s="31"/>
      <c r="M55" s="41"/>
      <c r="N55" s="30">
        <v>2</v>
      </c>
      <c r="O55" s="30"/>
      <c r="P55" s="35"/>
      <c r="Q55" s="35"/>
      <c r="R55" s="30">
        <f t="shared" si="8"/>
        <v>2</v>
      </c>
      <c r="S55" s="30">
        <f t="shared" si="6"/>
        <v>0</v>
      </c>
      <c r="T55" s="32"/>
      <c r="U55" s="32">
        <f t="shared" si="7"/>
        <v>1.6</v>
      </c>
      <c r="V55" s="36"/>
      <c r="W55" s="37">
        <f t="shared" si="0"/>
        <v>1.6</v>
      </c>
    </row>
    <row r="56" spans="1:23" ht="36.75" customHeight="1">
      <c r="A56" s="38" t="s">
        <v>664</v>
      </c>
      <c r="B56" s="28" t="s">
        <v>667</v>
      </c>
      <c r="C56" s="29" t="s">
        <v>598</v>
      </c>
      <c r="D56" s="30">
        <v>2</v>
      </c>
      <c r="E56" s="30"/>
      <c r="F56" s="30">
        <v>29.5</v>
      </c>
      <c r="G56" s="31">
        <v>2018</v>
      </c>
      <c r="H56" s="31">
        <v>2018</v>
      </c>
      <c r="I56" s="32">
        <f>1.51+0.09</f>
        <v>1.6</v>
      </c>
      <c r="J56" s="33">
        <f t="shared" si="2"/>
        <v>1.6</v>
      </c>
      <c r="K56" s="34">
        <v>0</v>
      </c>
      <c r="L56" s="31"/>
      <c r="M56" s="41"/>
      <c r="N56" s="30">
        <v>2</v>
      </c>
      <c r="O56" s="30"/>
      <c r="P56" s="35"/>
      <c r="Q56" s="35"/>
      <c r="R56" s="30">
        <f t="shared" si="8"/>
        <v>2</v>
      </c>
      <c r="S56" s="30">
        <f t="shared" si="6"/>
        <v>0</v>
      </c>
      <c r="T56" s="32"/>
      <c r="U56" s="32">
        <f t="shared" si="7"/>
        <v>1.6</v>
      </c>
      <c r="V56" s="36"/>
      <c r="W56" s="37">
        <f t="shared" si="0"/>
        <v>1.6</v>
      </c>
    </row>
    <row r="57" spans="1:23" ht="36.75" customHeight="1">
      <c r="A57" s="38" t="s">
        <v>666</v>
      </c>
      <c r="B57" s="28" t="s">
        <v>669</v>
      </c>
      <c r="C57" s="29" t="s">
        <v>598</v>
      </c>
      <c r="D57" s="30">
        <v>0.4</v>
      </c>
      <c r="E57" s="30"/>
      <c r="F57" s="30">
        <v>3.8</v>
      </c>
      <c r="G57" s="31">
        <v>2018</v>
      </c>
      <c r="H57" s="31">
        <v>2018</v>
      </c>
      <c r="I57" s="32">
        <f>0.87+0.1</f>
        <v>0.97</v>
      </c>
      <c r="J57" s="33">
        <f t="shared" si="2"/>
        <v>0.97</v>
      </c>
      <c r="K57" s="34">
        <v>0</v>
      </c>
      <c r="L57" s="31"/>
      <c r="M57" s="41"/>
      <c r="N57" s="30">
        <v>0.4</v>
      </c>
      <c r="O57" s="30"/>
      <c r="P57" s="35"/>
      <c r="Q57" s="35"/>
      <c r="R57" s="30">
        <f t="shared" si="8"/>
        <v>0.4</v>
      </c>
      <c r="S57" s="30">
        <f t="shared" si="6"/>
        <v>0</v>
      </c>
      <c r="T57" s="32"/>
      <c r="U57" s="32">
        <f t="shared" si="7"/>
        <v>0.97</v>
      </c>
      <c r="V57" s="36"/>
      <c r="W57" s="37">
        <f t="shared" si="0"/>
        <v>0.97</v>
      </c>
    </row>
    <row r="58" spans="1:23" ht="15.75">
      <c r="A58" s="38" t="s">
        <v>668</v>
      </c>
      <c r="B58" s="28" t="s">
        <v>671</v>
      </c>
      <c r="C58" s="29" t="s">
        <v>598</v>
      </c>
      <c r="D58" s="30">
        <v>0.4</v>
      </c>
      <c r="E58" s="30"/>
      <c r="F58" s="30">
        <v>2.1</v>
      </c>
      <c r="G58" s="31">
        <v>2018</v>
      </c>
      <c r="H58" s="31">
        <v>2018</v>
      </c>
      <c r="I58" s="32">
        <f>0.83+0.096</f>
        <v>0.9259999999999999</v>
      </c>
      <c r="J58" s="33">
        <f t="shared" si="2"/>
        <v>0.9259999999999999</v>
      </c>
      <c r="K58" s="34">
        <v>0</v>
      </c>
      <c r="L58" s="31"/>
      <c r="M58" s="41"/>
      <c r="N58" s="30">
        <v>0.4</v>
      </c>
      <c r="O58" s="30"/>
      <c r="P58" s="35"/>
      <c r="Q58" s="35"/>
      <c r="R58" s="30">
        <f t="shared" si="8"/>
        <v>0.4</v>
      </c>
      <c r="S58" s="30">
        <f t="shared" si="6"/>
        <v>0</v>
      </c>
      <c r="T58" s="32"/>
      <c r="U58" s="32">
        <f t="shared" si="7"/>
        <v>0.9259999999999999</v>
      </c>
      <c r="V58" s="36"/>
      <c r="W58" s="37">
        <f t="shared" si="0"/>
        <v>0.9259999999999999</v>
      </c>
    </row>
    <row r="59" spans="1:23" ht="15.75">
      <c r="A59" s="38" t="s">
        <v>670</v>
      </c>
      <c r="B59" s="28" t="s">
        <v>673</v>
      </c>
      <c r="C59" s="29" t="s">
        <v>598</v>
      </c>
      <c r="D59" s="30">
        <v>0.25</v>
      </c>
      <c r="E59" s="30"/>
      <c r="F59" s="30">
        <v>1.2</v>
      </c>
      <c r="G59" s="31">
        <v>2018</v>
      </c>
      <c r="H59" s="31">
        <v>2018</v>
      </c>
      <c r="I59" s="32">
        <f>0.72+0.083</f>
        <v>0.8029999999999999</v>
      </c>
      <c r="J59" s="33">
        <f t="shared" si="2"/>
        <v>0.8029999999999999</v>
      </c>
      <c r="K59" s="34">
        <v>0</v>
      </c>
      <c r="L59" s="31"/>
      <c r="M59" s="41"/>
      <c r="N59" s="30">
        <v>0.25</v>
      </c>
      <c r="O59" s="30"/>
      <c r="P59" s="35"/>
      <c r="Q59" s="35"/>
      <c r="R59" s="30">
        <f t="shared" si="8"/>
        <v>0.25</v>
      </c>
      <c r="S59" s="30">
        <f t="shared" si="6"/>
        <v>0</v>
      </c>
      <c r="T59" s="32"/>
      <c r="U59" s="32">
        <f t="shared" si="7"/>
        <v>0.8029999999999999</v>
      </c>
      <c r="V59" s="36"/>
      <c r="W59" s="37">
        <f t="shared" si="0"/>
        <v>0.8029999999999999</v>
      </c>
    </row>
    <row r="60" spans="1:23" ht="15.75">
      <c r="A60" s="38" t="s">
        <v>672</v>
      </c>
      <c r="B60" s="28" t="s">
        <v>675</v>
      </c>
      <c r="C60" s="29" t="s">
        <v>598</v>
      </c>
      <c r="D60" s="30">
        <v>0.63</v>
      </c>
      <c r="E60" s="30"/>
      <c r="F60" s="30">
        <v>1.7</v>
      </c>
      <c r="G60" s="31">
        <v>2018</v>
      </c>
      <c r="H60" s="31">
        <v>2018</v>
      </c>
      <c r="I60" s="32">
        <f>1.01+0.06</f>
        <v>1.07</v>
      </c>
      <c r="J60" s="33">
        <f t="shared" si="2"/>
        <v>1.07</v>
      </c>
      <c r="K60" s="34">
        <v>0</v>
      </c>
      <c r="L60" s="31"/>
      <c r="M60" s="41"/>
      <c r="N60" s="30">
        <v>0.63</v>
      </c>
      <c r="O60" s="30"/>
      <c r="P60" s="35"/>
      <c r="Q60" s="35"/>
      <c r="R60" s="30">
        <f t="shared" si="8"/>
        <v>0.63</v>
      </c>
      <c r="S60" s="30">
        <f t="shared" si="6"/>
        <v>0</v>
      </c>
      <c r="T60" s="32"/>
      <c r="U60" s="32">
        <f t="shared" si="7"/>
        <v>1.07</v>
      </c>
      <c r="V60" s="36"/>
      <c r="W60" s="37">
        <f t="shared" si="0"/>
        <v>1.07</v>
      </c>
    </row>
    <row r="61" spans="1:23" ht="15.75">
      <c r="A61" s="38" t="s">
        <v>674</v>
      </c>
      <c r="B61" s="28" t="s">
        <v>677</v>
      </c>
      <c r="C61" s="29" t="s">
        <v>598</v>
      </c>
      <c r="D61" s="30"/>
      <c r="E61" s="30">
        <v>0.34</v>
      </c>
      <c r="F61" s="30">
        <v>0.54</v>
      </c>
      <c r="G61" s="31">
        <v>2018</v>
      </c>
      <c r="H61" s="31">
        <v>2018</v>
      </c>
      <c r="I61" s="32">
        <f>0.35+0.054</f>
        <v>0.40399999999999997</v>
      </c>
      <c r="J61" s="33">
        <f t="shared" si="2"/>
        <v>0.40399999999999997</v>
      </c>
      <c r="K61" s="34">
        <v>0</v>
      </c>
      <c r="L61" s="31"/>
      <c r="M61" s="41"/>
      <c r="N61" s="30"/>
      <c r="O61" s="30">
        <v>0.34</v>
      </c>
      <c r="P61" s="35"/>
      <c r="Q61" s="35"/>
      <c r="R61" s="30">
        <f t="shared" si="8"/>
        <v>0</v>
      </c>
      <c r="S61" s="30">
        <f t="shared" si="6"/>
        <v>0.34</v>
      </c>
      <c r="T61" s="32"/>
      <c r="U61" s="32">
        <f t="shared" si="7"/>
        <v>0.40399999999999997</v>
      </c>
      <c r="V61" s="36"/>
      <c r="W61" s="37">
        <f t="shared" si="0"/>
        <v>0.40399999999999997</v>
      </c>
    </row>
    <row r="62" spans="1:23" ht="15.75">
      <c r="A62" s="38" t="s">
        <v>676</v>
      </c>
      <c r="B62" s="40" t="s">
        <v>679</v>
      </c>
      <c r="C62" s="30" t="s">
        <v>601</v>
      </c>
      <c r="D62" s="30"/>
      <c r="E62" s="30">
        <v>0.05</v>
      </c>
      <c r="F62" s="30">
        <v>0.06</v>
      </c>
      <c r="G62" s="31">
        <v>2018</v>
      </c>
      <c r="H62" s="31">
        <v>2018</v>
      </c>
      <c r="I62" s="32">
        <f>0.11+0.017</f>
        <v>0.127</v>
      </c>
      <c r="J62" s="33">
        <f t="shared" si="2"/>
        <v>0.127</v>
      </c>
      <c r="K62" s="34">
        <v>0</v>
      </c>
      <c r="L62" s="31"/>
      <c r="M62" s="41"/>
      <c r="N62" s="30"/>
      <c r="O62" s="30">
        <v>0.05</v>
      </c>
      <c r="P62" s="30"/>
      <c r="Q62" s="30"/>
      <c r="R62" s="30">
        <f t="shared" si="8"/>
        <v>0</v>
      </c>
      <c r="S62" s="30">
        <f t="shared" si="6"/>
        <v>0.05</v>
      </c>
      <c r="T62" s="32"/>
      <c r="U62" s="32">
        <f t="shared" si="7"/>
        <v>0.127</v>
      </c>
      <c r="V62" s="36"/>
      <c r="W62" s="37">
        <f t="shared" si="0"/>
        <v>0.127</v>
      </c>
    </row>
    <row r="63" spans="1:23" ht="15.75">
      <c r="A63" s="38" t="s">
        <v>678</v>
      </c>
      <c r="B63" s="40" t="s">
        <v>681</v>
      </c>
      <c r="C63" s="29" t="s">
        <v>598</v>
      </c>
      <c r="D63" s="30"/>
      <c r="E63" s="30">
        <v>0.04</v>
      </c>
      <c r="F63" s="30">
        <v>0.01</v>
      </c>
      <c r="G63" s="31">
        <v>2018</v>
      </c>
      <c r="H63" s="31">
        <v>2018</v>
      </c>
      <c r="I63" s="32">
        <f>0.26+0.04</f>
        <v>0.3</v>
      </c>
      <c r="J63" s="33">
        <f t="shared" si="2"/>
        <v>0.3</v>
      </c>
      <c r="K63" s="34">
        <v>0</v>
      </c>
      <c r="L63" s="31"/>
      <c r="M63" s="41"/>
      <c r="N63" s="30"/>
      <c r="O63" s="30">
        <v>0.04</v>
      </c>
      <c r="P63" s="30"/>
      <c r="Q63" s="30"/>
      <c r="R63" s="30">
        <f t="shared" si="8"/>
        <v>0</v>
      </c>
      <c r="S63" s="30">
        <f t="shared" si="6"/>
        <v>0.04</v>
      </c>
      <c r="T63" s="32"/>
      <c r="U63" s="32">
        <f t="shared" si="7"/>
        <v>0.3</v>
      </c>
      <c r="V63" s="36"/>
      <c r="W63" s="37">
        <f t="shared" si="0"/>
        <v>0.3</v>
      </c>
    </row>
    <row r="64" spans="1:23" ht="15.75">
      <c r="A64" s="38" t="s">
        <v>680</v>
      </c>
      <c r="B64" s="40" t="s">
        <v>683</v>
      </c>
      <c r="C64" s="29" t="s">
        <v>598</v>
      </c>
      <c r="D64" s="30"/>
      <c r="E64" s="30">
        <v>0.16</v>
      </c>
      <c r="F64" s="30">
        <v>0.01</v>
      </c>
      <c r="G64" s="31">
        <v>2018</v>
      </c>
      <c r="H64" s="31">
        <v>2018</v>
      </c>
      <c r="I64" s="32">
        <f>0.23+0.035</f>
        <v>0.265</v>
      </c>
      <c r="J64" s="33">
        <f t="shared" si="2"/>
        <v>0.265</v>
      </c>
      <c r="K64" s="34">
        <v>0</v>
      </c>
      <c r="L64" s="31"/>
      <c r="M64" s="41"/>
      <c r="N64" s="30"/>
      <c r="O64" s="30">
        <v>0.16</v>
      </c>
      <c r="P64" s="30"/>
      <c r="Q64" s="30"/>
      <c r="R64" s="30">
        <f t="shared" si="8"/>
        <v>0</v>
      </c>
      <c r="S64" s="30">
        <f t="shared" si="6"/>
        <v>0.16</v>
      </c>
      <c r="T64" s="32"/>
      <c r="U64" s="32">
        <f t="shared" si="7"/>
        <v>0.265</v>
      </c>
      <c r="V64" s="36"/>
      <c r="W64" s="37">
        <f t="shared" si="0"/>
        <v>0.265</v>
      </c>
    </row>
    <row r="65" spans="1:23" ht="15.75">
      <c r="A65" s="38" t="s">
        <v>682</v>
      </c>
      <c r="B65" s="40" t="s">
        <v>685</v>
      </c>
      <c r="C65" s="29" t="s">
        <v>598</v>
      </c>
      <c r="D65" s="42"/>
      <c r="E65" s="42">
        <v>0.42</v>
      </c>
      <c r="F65" s="42">
        <v>0.01</v>
      </c>
      <c r="G65" s="31">
        <v>2018</v>
      </c>
      <c r="H65" s="31">
        <v>2018</v>
      </c>
      <c r="I65" s="32">
        <f>0.6+0.093</f>
        <v>0.693</v>
      </c>
      <c r="J65" s="33">
        <f t="shared" si="2"/>
        <v>0.693</v>
      </c>
      <c r="K65" s="34">
        <v>0</v>
      </c>
      <c r="L65" s="31"/>
      <c r="M65" s="41"/>
      <c r="N65" s="42"/>
      <c r="O65" s="42">
        <v>0.42</v>
      </c>
      <c r="P65" s="30"/>
      <c r="Q65" s="30"/>
      <c r="R65" s="30">
        <f t="shared" si="8"/>
        <v>0</v>
      </c>
      <c r="S65" s="30">
        <f t="shared" si="6"/>
        <v>0.42</v>
      </c>
      <c r="T65" s="32"/>
      <c r="U65" s="32">
        <f t="shared" si="7"/>
        <v>0.693</v>
      </c>
      <c r="V65" s="36"/>
      <c r="W65" s="37">
        <f t="shared" si="0"/>
        <v>0.693</v>
      </c>
    </row>
    <row r="66" spans="1:24" s="3" customFormat="1" ht="31.5">
      <c r="A66" s="38" t="s">
        <v>684</v>
      </c>
      <c r="B66" s="43" t="s">
        <v>687</v>
      </c>
      <c r="C66" s="29" t="s">
        <v>598</v>
      </c>
      <c r="D66" s="44"/>
      <c r="E66" s="29">
        <v>0.69</v>
      </c>
      <c r="F66" s="29">
        <v>0</v>
      </c>
      <c r="G66" s="45">
        <v>2019</v>
      </c>
      <c r="H66" s="45">
        <v>2019</v>
      </c>
      <c r="I66" s="46">
        <f>5.73+2.14+2.05</f>
        <v>9.920000000000002</v>
      </c>
      <c r="J66" s="33">
        <f t="shared" si="2"/>
        <v>9.920000000000002</v>
      </c>
      <c r="K66" s="34">
        <v>0</v>
      </c>
      <c r="L66" s="47"/>
      <c r="M66" s="47"/>
      <c r="N66" s="47"/>
      <c r="O66" s="29"/>
      <c r="P66" s="44"/>
      <c r="Q66" s="29">
        <v>0.69</v>
      </c>
      <c r="R66" s="29">
        <f t="shared" si="8"/>
        <v>0</v>
      </c>
      <c r="S66" s="29">
        <f t="shared" si="6"/>
        <v>0.69</v>
      </c>
      <c r="T66" s="46"/>
      <c r="U66" s="46"/>
      <c r="V66" s="46">
        <f aca="true" t="shared" si="9" ref="V66:V90">I66</f>
        <v>9.920000000000002</v>
      </c>
      <c r="W66" s="48">
        <f t="shared" si="0"/>
        <v>9.920000000000002</v>
      </c>
      <c r="X66" s="2"/>
    </row>
    <row r="67" spans="1:24" s="3" customFormat="1" ht="31.5">
      <c r="A67" s="38" t="s">
        <v>686</v>
      </c>
      <c r="B67" s="43" t="s">
        <v>689</v>
      </c>
      <c r="C67" s="29" t="s">
        <v>598</v>
      </c>
      <c r="D67" s="44"/>
      <c r="E67" s="44"/>
      <c r="F67" s="44">
        <v>0</v>
      </c>
      <c r="G67" s="45">
        <v>2019</v>
      </c>
      <c r="H67" s="45">
        <v>2019</v>
      </c>
      <c r="I67" s="46">
        <f>1.57+1.002</f>
        <v>2.572</v>
      </c>
      <c r="J67" s="33">
        <f t="shared" si="2"/>
        <v>2.572</v>
      </c>
      <c r="K67" s="34">
        <v>0</v>
      </c>
      <c r="L67" s="47"/>
      <c r="M67" s="47"/>
      <c r="N67" s="47"/>
      <c r="O67" s="29"/>
      <c r="P67" s="44"/>
      <c r="Q67" s="44"/>
      <c r="R67" s="29">
        <f t="shared" si="8"/>
        <v>0</v>
      </c>
      <c r="S67" s="29">
        <f t="shared" si="6"/>
        <v>0</v>
      </c>
      <c r="T67" s="46"/>
      <c r="U67" s="46"/>
      <c r="V67" s="46">
        <f t="shared" si="9"/>
        <v>2.572</v>
      </c>
      <c r="W67" s="48">
        <f t="shared" si="0"/>
        <v>2.572</v>
      </c>
      <c r="X67" s="2"/>
    </row>
    <row r="68" spans="1:24" s="3" customFormat="1" ht="31.5">
      <c r="A68" s="38" t="s">
        <v>688</v>
      </c>
      <c r="B68" s="43" t="s">
        <v>691</v>
      </c>
      <c r="C68" s="30" t="s">
        <v>601</v>
      </c>
      <c r="D68" s="44"/>
      <c r="E68" s="44">
        <v>2.99</v>
      </c>
      <c r="F68" s="44">
        <v>0</v>
      </c>
      <c r="G68" s="45">
        <v>2019</v>
      </c>
      <c r="H68" s="45">
        <v>2019</v>
      </c>
      <c r="I68" s="46">
        <f>4.56</f>
        <v>4.5600000000000005</v>
      </c>
      <c r="J68" s="33">
        <f t="shared" si="2"/>
        <v>4.5600000000000005</v>
      </c>
      <c r="K68" s="34">
        <v>0</v>
      </c>
      <c r="L68" s="47"/>
      <c r="M68" s="47"/>
      <c r="N68" s="44"/>
      <c r="O68" s="29"/>
      <c r="P68" s="44"/>
      <c r="Q68" s="44">
        <v>2.99</v>
      </c>
      <c r="R68" s="29">
        <f t="shared" si="8"/>
        <v>0</v>
      </c>
      <c r="S68" s="29">
        <f t="shared" si="6"/>
        <v>2.99</v>
      </c>
      <c r="T68" s="46"/>
      <c r="U68" s="46"/>
      <c r="V68" s="46">
        <f t="shared" si="9"/>
        <v>4.5600000000000005</v>
      </c>
      <c r="W68" s="48">
        <f t="shared" si="0"/>
        <v>4.5600000000000005</v>
      </c>
      <c r="X68" s="2"/>
    </row>
    <row r="69" spans="1:24" s="3" customFormat="1" ht="31.5">
      <c r="A69" s="38" t="s">
        <v>690</v>
      </c>
      <c r="B69" s="43" t="s">
        <v>693</v>
      </c>
      <c r="C69" s="29" t="s">
        <v>598</v>
      </c>
      <c r="D69" s="44"/>
      <c r="E69" s="44"/>
      <c r="F69" s="44">
        <v>0</v>
      </c>
      <c r="G69" s="45">
        <v>2019</v>
      </c>
      <c r="H69" s="45">
        <v>2019</v>
      </c>
      <c r="I69" s="46">
        <f>1.28+2.59+1.058</f>
        <v>4.928</v>
      </c>
      <c r="J69" s="33">
        <f t="shared" si="2"/>
        <v>4.928</v>
      </c>
      <c r="K69" s="34">
        <v>0</v>
      </c>
      <c r="L69" s="47"/>
      <c r="M69" s="47"/>
      <c r="N69" s="44"/>
      <c r="O69" s="29"/>
      <c r="P69" s="44"/>
      <c r="Q69" s="44">
        <f>E69</f>
        <v>0</v>
      </c>
      <c r="R69" s="29">
        <v>0</v>
      </c>
      <c r="S69" s="29">
        <v>0</v>
      </c>
      <c r="T69" s="46"/>
      <c r="U69" s="46"/>
      <c r="V69" s="46">
        <f t="shared" si="9"/>
        <v>4.928</v>
      </c>
      <c r="W69" s="48">
        <f t="shared" si="0"/>
        <v>4.928</v>
      </c>
      <c r="X69" s="2"/>
    </row>
    <row r="70" spans="1:24" s="3" customFormat="1" ht="39.75" customHeight="1">
      <c r="A70" s="38" t="s">
        <v>692</v>
      </c>
      <c r="B70" s="49" t="s">
        <v>695</v>
      </c>
      <c r="C70" s="29" t="s">
        <v>598</v>
      </c>
      <c r="D70" s="29"/>
      <c r="E70" s="29"/>
      <c r="F70" s="29">
        <v>0</v>
      </c>
      <c r="G70" s="45">
        <v>2019</v>
      </c>
      <c r="H70" s="45">
        <v>2019</v>
      </c>
      <c r="I70" s="46">
        <f>1.175+0.095</f>
        <v>1.27</v>
      </c>
      <c r="J70" s="33">
        <f t="shared" si="2"/>
        <v>1.27</v>
      </c>
      <c r="K70" s="34">
        <v>0</v>
      </c>
      <c r="L70" s="47"/>
      <c r="M70" s="47"/>
      <c r="N70" s="50"/>
      <c r="O70" s="50"/>
      <c r="P70" s="29"/>
      <c r="Q70" s="29"/>
      <c r="R70" s="29">
        <f aca="true" t="shared" si="10" ref="R70:R86">L70+N70+P70</f>
        <v>0</v>
      </c>
      <c r="S70" s="29">
        <f>M70+O70+Q70</f>
        <v>0</v>
      </c>
      <c r="T70" s="46"/>
      <c r="U70" s="46"/>
      <c r="V70" s="46">
        <f t="shared" si="9"/>
        <v>1.27</v>
      </c>
      <c r="W70" s="48">
        <f t="shared" si="0"/>
        <v>1.27</v>
      </c>
      <c r="X70" s="2"/>
    </row>
    <row r="71" spans="1:24" s="3" customFormat="1" ht="15.75">
      <c r="A71" s="38" t="s">
        <v>694</v>
      </c>
      <c r="B71" s="49" t="s">
        <v>697</v>
      </c>
      <c r="C71" s="30" t="s">
        <v>601</v>
      </c>
      <c r="D71" s="30"/>
      <c r="E71" s="29"/>
      <c r="F71" s="29">
        <v>0</v>
      </c>
      <c r="G71" s="45">
        <v>2019</v>
      </c>
      <c r="H71" s="45">
        <v>2019</v>
      </c>
      <c r="I71" s="46">
        <f>29.909+0.586</f>
        <v>30.494999999999997</v>
      </c>
      <c r="J71" s="33">
        <f t="shared" si="2"/>
        <v>30.494999999999997</v>
      </c>
      <c r="K71" s="34">
        <v>0</v>
      </c>
      <c r="L71" s="47"/>
      <c r="M71" s="47"/>
      <c r="N71" s="50"/>
      <c r="O71" s="50"/>
      <c r="P71" s="30"/>
      <c r="Q71" s="29"/>
      <c r="R71" s="29">
        <f t="shared" si="10"/>
        <v>0</v>
      </c>
      <c r="S71" s="29"/>
      <c r="T71" s="46"/>
      <c r="U71" s="46"/>
      <c r="V71" s="46">
        <f t="shared" si="9"/>
        <v>30.494999999999997</v>
      </c>
      <c r="W71" s="48">
        <f t="shared" si="0"/>
        <v>30.494999999999997</v>
      </c>
      <c r="X71" s="2"/>
    </row>
    <row r="72" spans="1:24" s="3" customFormat="1" ht="15.75">
      <c r="A72" s="38" t="s">
        <v>696</v>
      </c>
      <c r="B72" s="49" t="s">
        <v>699</v>
      </c>
      <c r="C72" s="30" t="s">
        <v>601</v>
      </c>
      <c r="D72" s="30"/>
      <c r="E72" s="29"/>
      <c r="F72" s="29">
        <v>0</v>
      </c>
      <c r="G72" s="45">
        <v>2019</v>
      </c>
      <c r="H72" s="45">
        <v>2019</v>
      </c>
      <c r="I72" s="46">
        <f>8.027+0.469</f>
        <v>8.495999999999999</v>
      </c>
      <c r="J72" s="33">
        <f t="shared" si="2"/>
        <v>8.495999999999999</v>
      </c>
      <c r="K72" s="34">
        <v>0</v>
      </c>
      <c r="L72" s="47"/>
      <c r="M72" s="47"/>
      <c r="N72" s="50"/>
      <c r="O72" s="50"/>
      <c r="P72" s="30"/>
      <c r="Q72" s="29"/>
      <c r="R72" s="29">
        <f t="shared" si="10"/>
        <v>0</v>
      </c>
      <c r="S72" s="29"/>
      <c r="T72" s="46"/>
      <c r="U72" s="46"/>
      <c r="V72" s="46">
        <f t="shared" si="9"/>
        <v>8.495999999999999</v>
      </c>
      <c r="W72" s="48">
        <f t="shared" si="0"/>
        <v>8.495999999999999</v>
      </c>
      <c r="X72" s="2"/>
    </row>
    <row r="73" spans="1:24" s="3" customFormat="1" ht="15.75">
      <c r="A73" s="38" t="s">
        <v>698</v>
      </c>
      <c r="B73" s="49" t="s">
        <v>701</v>
      </c>
      <c r="C73" s="29" t="s">
        <v>598</v>
      </c>
      <c r="D73" s="30"/>
      <c r="E73" s="29"/>
      <c r="F73" s="29">
        <v>0</v>
      </c>
      <c r="G73" s="45">
        <v>2019</v>
      </c>
      <c r="H73" s="45">
        <v>2019</v>
      </c>
      <c r="I73" s="46">
        <f>19.408+0.509</f>
        <v>19.917</v>
      </c>
      <c r="J73" s="33">
        <f t="shared" si="2"/>
        <v>19.917</v>
      </c>
      <c r="K73" s="34">
        <v>0</v>
      </c>
      <c r="L73" s="47"/>
      <c r="M73" s="47"/>
      <c r="N73" s="50"/>
      <c r="O73" s="50"/>
      <c r="P73" s="30"/>
      <c r="Q73" s="29"/>
      <c r="R73" s="29">
        <f t="shared" si="10"/>
        <v>0</v>
      </c>
      <c r="S73" s="29"/>
      <c r="T73" s="46"/>
      <c r="U73" s="46"/>
      <c r="V73" s="46">
        <f t="shared" si="9"/>
        <v>19.917</v>
      </c>
      <c r="W73" s="48">
        <f t="shared" si="0"/>
        <v>19.917</v>
      </c>
      <c r="X73" s="2"/>
    </row>
    <row r="74" spans="1:24" s="3" customFormat="1" ht="15.75">
      <c r="A74" s="38" t="s">
        <v>700</v>
      </c>
      <c r="B74" s="49" t="s">
        <v>703</v>
      </c>
      <c r="C74" s="30" t="s">
        <v>601</v>
      </c>
      <c r="D74" s="30"/>
      <c r="E74" s="29"/>
      <c r="F74" s="29">
        <v>0</v>
      </c>
      <c r="G74" s="45">
        <v>2019</v>
      </c>
      <c r="H74" s="45">
        <v>2019</v>
      </c>
      <c r="I74" s="46">
        <f>6.225</f>
        <v>6.225</v>
      </c>
      <c r="J74" s="33">
        <f t="shared" si="2"/>
        <v>6.225</v>
      </c>
      <c r="K74" s="34">
        <v>0</v>
      </c>
      <c r="L74" s="47"/>
      <c r="M74" s="47"/>
      <c r="N74" s="50"/>
      <c r="O74" s="50"/>
      <c r="P74" s="30"/>
      <c r="Q74" s="29"/>
      <c r="R74" s="29">
        <f t="shared" si="10"/>
        <v>0</v>
      </c>
      <c r="S74" s="29"/>
      <c r="T74" s="46"/>
      <c r="U74" s="46"/>
      <c r="V74" s="46">
        <f t="shared" si="9"/>
        <v>6.225</v>
      </c>
      <c r="W74" s="48">
        <f t="shared" si="0"/>
        <v>6.225</v>
      </c>
      <c r="X74" s="2"/>
    </row>
    <row r="75" spans="1:24" s="3" customFormat="1" ht="15.75">
      <c r="A75" s="38" t="s">
        <v>702</v>
      </c>
      <c r="B75" s="49" t="s">
        <v>705</v>
      </c>
      <c r="C75" s="30" t="s">
        <v>601</v>
      </c>
      <c r="D75" s="30">
        <v>0</v>
      </c>
      <c r="E75" s="29"/>
      <c r="F75" s="29">
        <v>0</v>
      </c>
      <c r="G75" s="45">
        <v>2019</v>
      </c>
      <c r="H75" s="45">
        <v>2019</v>
      </c>
      <c r="I75" s="46">
        <f>4.203</f>
        <v>4.203</v>
      </c>
      <c r="J75" s="33">
        <f t="shared" si="2"/>
        <v>4.203</v>
      </c>
      <c r="K75" s="34">
        <v>0</v>
      </c>
      <c r="L75" s="47"/>
      <c r="M75" s="47"/>
      <c r="N75" s="50"/>
      <c r="O75" s="50"/>
      <c r="P75" s="30">
        <v>0</v>
      </c>
      <c r="Q75" s="29"/>
      <c r="R75" s="29">
        <f t="shared" si="10"/>
        <v>0</v>
      </c>
      <c r="S75" s="29"/>
      <c r="T75" s="46"/>
      <c r="U75" s="46"/>
      <c r="V75" s="46">
        <f t="shared" si="9"/>
        <v>4.203</v>
      </c>
      <c r="W75" s="48">
        <f t="shared" si="0"/>
        <v>4.203</v>
      </c>
      <c r="X75" s="2"/>
    </row>
    <row r="76" spans="1:24" s="3" customFormat="1" ht="15.75">
      <c r="A76" s="38" t="s">
        <v>704</v>
      </c>
      <c r="B76" s="49" t="s">
        <v>707</v>
      </c>
      <c r="C76" s="30" t="s">
        <v>601</v>
      </c>
      <c r="D76" s="30">
        <v>0</v>
      </c>
      <c r="E76" s="29"/>
      <c r="F76" s="29">
        <v>0</v>
      </c>
      <c r="G76" s="45">
        <v>2019</v>
      </c>
      <c r="H76" s="45">
        <v>2019</v>
      </c>
      <c r="I76" s="46">
        <f>1.497</f>
        <v>1.4969999999999999</v>
      </c>
      <c r="J76" s="33">
        <f t="shared" si="2"/>
        <v>1.4969999999999999</v>
      </c>
      <c r="K76" s="34">
        <v>0</v>
      </c>
      <c r="L76" s="47"/>
      <c r="M76" s="47"/>
      <c r="N76" s="50"/>
      <c r="O76" s="50"/>
      <c r="P76" s="30">
        <v>0</v>
      </c>
      <c r="Q76" s="29"/>
      <c r="R76" s="29">
        <f t="shared" si="10"/>
        <v>0</v>
      </c>
      <c r="S76" s="29"/>
      <c r="T76" s="46"/>
      <c r="U76" s="46"/>
      <c r="V76" s="46">
        <f t="shared" si="9"/>
        <v>1.4969999999999999</v>
      </c>
      <c r="W76" s="48">
        <f t="shared" si="0"/>
        <v>1.4969999999999999</v>
      </c>
      <c r="X76" s="2"/>
    </row>
    <row r="77" spans="1:24" s="3" customFormat="1" ht="15.75">
      <c r="A77" s="38" t="s">
        <v>706</v>
      </c>
      <c r="B77" s="49" t="s">
        <v>709</v>
      </c>
      <c r="C77" s="29" t="s">
        <v>598</v>
      </c>
      <c r="D77" s="30">
        <v>0</v>
      </c>
      <c r="E77" s="29"/>
      <c r="F77" s="29">
        <v>0</v>
      </c>
      <c r="G77" s="45">
        <v>2019</v>
      </c>
      <c r="H77" s="45">
        <v>2019</v>
      </c>
      <c r="I77" s="46">
        <f>4.401+4.961+0.496</f>
        <v>9.858</v>
      </c>
      <c r="J77" s="33">
        <f t="shared" si="2"/>
        <v>9.858</v>
      </c>
      <c r="K77" s="34">
        <v>0</v>
      </c>
      <c r="L77" s="47"/>
      <c r="M77" s="47"/>
      <c r="N77" s="50"/>
      <c r="O77" s="50"/>
      <c r="P77" s="30">
        <v>0</v>
      </c>
      <c r="Q77" s="29"/>
      <c r="R77" s="29">
        <f t="shared" si="10"/>
        <v>0</v>
      </c>
      <c r="S77" s="29"/>
      <c r="T77" s="46"/>
      <c r="U77" s="46"/>
      <c r="V77" s="46">
        <f t="shared" si="9"/>
        <v>9.858</v>
      </c>
      <c r="W77" s="48">
        <f t="shared" si="0"/>
        <v>9.858</v>
      </c>
      <c r="X77" s="2"/>
    </row>
    <row r="78" spans="1:24" s="3" customFormat="1" ht="15.75">
      <c r="A78" s="38" t="s">
        <v>708</v>
      </c>
      <c r="B78" s="49" t="s">
        <v>711</v>
      </c>
      <c r="C78" s="30" t="s">
        <v>601</v>
      </c>
      <c r="D78" s="30"/>
      <c r="E78" s="29"/>
      <c r="F78" s="29">
        <v>0</v>
      </c>
      <c r="G78" s="45">
        <v>2019</v>
      </c>
      <c r="H78" s="45">
        <v>2019</v>
      </c>
      <c r="I78" s="46">
        <f>1.059</f>
        <v>1.059</v>
      </c>
      <c r="J78" s="33">
        <f t="shared" si="2"/>
        <v>1.059</v>
      </c>
      <c r="K78" s="34">
        <v>0</v>
      </c>
      <c r="L78" s="47"/>
      <c r="M78" s="47"/>
      <c r="N78" s="50"/>
      <c r="O78" s="50"/>
      <c r="P78" s="30"/>
      <c r="Q78" s="29"/>
      <c r="R78" s="29">
        <f t="shared" si="10"/>
        <v>0</v>
      </c>
      <c r="S78" s="29"/>
      <c r="T78" s="46"/>
      <c r="U78" s="46"/>
      <c r="V78" s="46">
        <f t="shared" si="9"/>
        <v>1.059</v>
      </c>
      <c r="W78" s="48">
        <f t="shared" si="0"/>
        <v>1.059</v>
      </c>
      <c r="X78" s="2"/>
    </row>
    <row r="79" spans="1:24" s="3" customFormat="1" ht="15.75">
      <c r="A79" s="38" t="s">
        <v>710</v>
      </c>
      <c r="B79" s="49" t="s">
        <v>713</v>
      </c>
      <c r="C79" s="30" t="s">
        <v>601</v>
      </c>
      <c r="D79" s="30"/>
      <c r="E79" s="29"/>
      <c r="F79" s="29">
        <v>0</v>
      </c>
      <c r="G79" s="45">
        <v>2019</v>
      </c>
      <c r="H79" s="45">
        <v>2019</v>
      </c>
      <c r="I79" s="46">
        <f>1.059</f>
        <v>1.059</v>
      </c>
      <c r="J79" s="33">
        <f t="shared" si="2"/>
        <v>1.059</v>
      </c>
      <c r="K79" s="34">
        <v>0</v>
      </c>
      <c r="L79" s="47"/>
      <c r="M79" s="47"/>
      <c r="N79" s="50"/>
      <c r="O79" s="50"/>
      <c r="P79" s="30"/>
      <c r="Q79" s="29"/>
      <c r="R79" s="29">
        <f t="shared" si="10"/>
        <v>0</v>
      </c>
      <c r="S79" s="29"/>
      <c r="T79" s="46"/>
      <c r="U79" s="46"/>
      <c r="V79" s="46">
        <f t="shared" si="9"/>
        <v>1.059</v>
      </c>
      <c r="W79" s="48">
        <f t="shared" si="0"/>
        <v>1.059</v>
      </c>
      <c r="X79" s="2"/>
    </row>
    <row r="80" spans="1:24" s="3" customFormat="1" ht="15.75">
      <c r="A80" s="38" t="s">
        <v>712</v>
      </c>
      <c r="B80" s="49" t="s">
        <v>715</v>
      </c>
      <c r="C80" s="30" t="s">
        <v>601</v>
      </c>
      <c r="D80" s="30">
        <v>0.63</v>
      </c>
      <c r="E80" s="29"/>
      <c r="F80" s="29">
        <v>1.2</v>
      </c>
      <c r="G80" s="45">
        <v>2019</v>
      </c>
      <c r="H80" s="45">
        <v>2019</v>
      </c>
      <c r="I80" s="46">
        <f>1.019+0.061</f>
        <v>1.0799999999999998</v>
      </c>
      <c r="J80" s="33">
        <f t="shared" si="2"/>
        <v>1.0799999999999998</v>
      </c>
      <c r="K80" s="34">
        <v>0</v>
      </c>
      <c r="L80" s="47"/>
      <c r="M80" s="47"/>
      <c r="N80" s="50"/>
      <c r="O80" s="50"/>
      <c r="P80" s="30">
        <v>0.63</v>
      </c>
      <c r="Q80" s="29"/>
      <c r="R80" s="29">
        <f t="shared" si="10"/>
        <v>0.63</v>
      </c>
      <c r="S80" s="29"/>
      <c r="T80" s="46"/>
      <c r="U80" s="46"/>
      <c r="V80" s="46">
        <f t="shared" si="9"/>
        <v>1.0799999999999998</v>
      </c>
      <c r="W80" s="48">
        <f t="shared" si="0"/>
        <v>1.0799999999999998</v>
      </c>
      <c r="X80" s="2"/>
    </row>
    <row r="81" spans="1:24" s="3" customFormat="1" ht="15.75">
      <c r="A81" s="38" t="s">
        <v>714</v>
      </c>
      <c r="B81" s="49" t="s">
        <v>717</v>
      </c>
      <c r="C81" s="30" t="s">
        <v>601</v>
      </c>
      <c r="D81" s="30">
        <v>0.4</v>
      </c>
      <c r="E81" s="29"/>
      <c r="F81" s="29">
        <v>1.06</v>
      </c>
      <c r="G81" s="45">
        <v>2019</v>
      </c>
      <c r="H81" s="45">
        <v>2019</v>
      </c>
      <c r="I81" s="46">
        <f>0.873+0.052</f>
        <v>0.925</v>
      </c>
      <c r="J81" s="33">
        <f t="shared" si="2"/>
        <v>0.925</v>
      </c>
      <c r="K81" s="34">
        <v>0</v>
      </c>
      <c r="L81" s="47"/>
      <c r="M81" s="47"/>
      <c r="N81" s="50"/>
      <c r="O81" s="50"/>
      <c r="P81" s="30">
        <v>0.4</v>
      </c>
      <c r="Q81" s="29"/>
      <c r="R81" s="29">
        <f t="shared" si="10"/>
        <v>0.4</v>
      </c>
      <c r="S81" s="29"/>
      <c r="T81" s="46"/>
      <c r="U81" s="46"/>
      <c r="V81" s="46">
        <f t="shared" si="9"/>
        <v>0.925</v>
      </c>
      <c r="W81" s="48">
        <f t="shared" si="0"/>
        <v>0.925</v>
      </c>
      <c r="X81" s="2"/>
    </row>
    <row r="82" spans="1:24" s="3" customFormat="1" ht="15.75">
      <c r="A82" s="38" t="s">
        <v>716</v>
      </c>
      <c r="B82" s="49" t="s">
        <v>719</v>
      </c>
      <c r="C82" s="29" t="s">
        <v>598</v>
      </c>
      <c r="D82" s="30">
        <v>0.8</v>
      </c>
      <c r="E82" s="29"/>
      <c r="F82" s="29">
        <v>1.4</v>
      </c>
      <c r="G82" s="45">
        <v>2019</v>
      </c>
      <c r="H82" s="45">
        <v>2019</v>
      </c>
      <c r="I82" s="46">
        <f>14.377+1.709</f>
        <v>16.086000000000002</v>
      </c>
      <c r="J82" s="33">
        <f t="shared" si="2"/>
        <v>16.086000000000002</v>
      </c>
      <c r="K82" s="34">
        <v>0</v>
      </c>
      <c r="L82" s="47"/>
      <c r="M82" s="47"/>
      <c r="N82" s="50"/>
      <c r="O82" s="50"/>
      <c r="P82" s="30">
        <v>0.8</v>
      </c>
      <c r="Q82" s="29"/>
      <c r="R82" s="29">
        <f t="shared" si="10"/>
        <v>0.8</v>
      </c>
      <c r="S82" s="29"/>
      <c r="T82" s="46"/>
      <c r="U82" s="46"/>
      <c r="V82" s="46">
        <f t="shared" si="9"/>
        <v>16.086000000000002</v>
      </c>
      <c r="W82" s="48">
        <f t="shared" si="0"/>
        <v>16.086000000000002</v>
      </c>
      <c r="X82" s="2"/>
    </row>
    <row r="83" spans="1:24" s="3" customFormat="1" ht="15.75">
      <c r="A83" s="38" t="s">
        <v>718</v>
      </c>
      <c r="B83" s="49" t="s">
        <v>721</v>
      </c>
      <c r="C83" s="30" t="s">
        <v>601</v>
      </c>
      <c r="D83" s="30">
        <v>0.4</v>
      </c>
      <c r="E83" s="29"/>
      <c r="F83" s="29">
        <v>1.2</v>
      </c>
      <c r="G83" s="45">
        <v>2019</v>
      </c>
      <c r="H83" s="45">
        <v>2019</v>
      </c>
      <c r="I83" s="46">
        <f>0.817+0.093</f>
        <v>0.91</v>
      </c>
      <c r="J83" s="33">
        <f t="shared" si="2"/>
        <v>0.91</v>
      </c>
      <c r="K83" s="34">
        <v>0</v>
      </c>
      <c r="L83" s="47"/>
      <c r="M83" s="47"/>
      <c r="N83" s="50"/>
      <c r="O83" s="50"/>
      <c r="P83" s="30">
        <v>0.4</v>
      </c>
      <c r="Q83" s="29"/>
      <c r="R83" s="29">
        <f t="shared" si="10"/>
        <v>0.4</v>
      </c>
      <c r="S83" s="29"/>
      <c r="T83" s="46"/>
      <c r="U83" s="46"/>
      <c r="V83" s="46">
        <f t="shared" si="9"/>
        <v>0.91</v>
      </c>
      <c r="W83" s="48">
        <f t="shared" si="0"/>
        <v>0.91</v>
      </c>
      <c r="X83" s="2"/>
    </row>
    <row r="84" spans="1:24" s="3" customFormat="1" ht="15.75">
      <c r="A84" s="38" t="s">
        <v>720</v>
      </c>
      <c r="B84" s="49" t="s">
        <v>723</v>
      </c>
      <c r="C84" s="30" t="s">
        <v>601</v>
      </c>
      <c r="D84" s="30">
        <v>0.4</v>
      </c>
      <c r="E84" s="29"/>
      <c r="F84" s="29">
        <v>1.2</v>
      </c>
      <c r="G84" s="45">
        <v>2019</v>
      </c>
      <c r="H84" s="45">
        <v>2019</v>
      </c>
      <c r="I84" s="46">
        <f>0.818+0.093</f>
        <v>0.911</v>
      </c>
      <c r="J84" s="33">
        <f t="shared" si="2"/>
        <v>0.911</v>
      </c>
      <c r="K84" s="34">
        <v>0</v>
      </c>
      <c r="L84" s="47"/>
      <c r="M84" s="47"/>
      <c r="N84" s="50"/>
      <c r="O84" s="50"/>
      <c r="P84" s="30">
        <v>0.4</v>
      </c>
      <c r="Q84" s="29"/>
      <c r="R84" s="29">
        <f t="shared" si="10"/>
        <v>0.4</v>
      </c>
      <c r="S84" s="29"/>
      <c r="T84" s="46"/>
      <c r="U84" s="46"/>
      <c r="V84" s="46">
        <f t="shared" si="9"/>
        <v>0.911</v>
      </c>
      <c r="W84" s="48">
        <f t="shared" si="0"/>
        <v>0.911</v>
      </c>
      <c r="X84" s="2"/>
    </row>
    <row r="85" spans="1:24" s="3" customFormat="1" ht="15.75">
      <c r="A85" s="38" t="s">
        <v>722</v>
      </c>
      <c r="B85" s="49" t="s">
        <v>725</v>
      </c>
      <c r="C85" s="30" t="s">
        <v>601</v>
      </c>
      <c r="D85" s="30">
        <v>0.4</v>
      </c>
      <c r="E85" s="29"/>
      <c r="F85" s="29">
        <v>1.2</v>
      </c>
      <c r="G85" s="45">
        <v>2019</v>
      </c>
      <c r="H85" s="45">
        <v>2019</v>
      </c>
      <c r="I85" s="46">
        <f>1.03+0.315</f>
        <v>1.345</v>
      </c>
      <c r="J85" s="33">
        <f t="shared" si="2"/>
        <v>1.345</v>
      </c>
      <c r="K85" s="34">
        <v>0</v>
      </c>
      <c r="L85" s="47"/>
      <c r="M85" s="47"/>
      <c r="N85" s="50"/>
      <c r="O85" s="50"/>
      <c r="P85" s="30">
        <v>0.4</v>
      </c>
      <c r="Q85" s="29"/>
      <c r="R85" s="29">
        <f t="shared" si="10"/>
        <v>0.4</v>
      </c>
      <c r="S85" s="29"/>
      <c r="T85" s="46"/>
      <c r="U85" s="46"/>
      <c r="V85" s="46">
        <f t="shared" si="9"/>
        <v>1.345</v>
      </c>
      <c r="W85" s="48">
        <f t="shared" si="0"/>
        <v>1.345</v>
      </c>
      <c r="X85" s="2"/>
    </row>
    <row r="86" spans="1:24" s="3" customFormat="1" ht="15.75">
      <c r="A86" s="38" t="s">
        <v>724</v>
      </c>
      <c r="B86" s="49" t="s">
        <v>727</v>
      </c>
      <c r="C86" s="30" t="s">
        <v>601</v>
      </c>
      <c r="D86" s="30">
        <v>0.4</v>
      </c>
      <c r="E86" s="29"/>
      <c r="F86" s="29">
        <v>1.1</v>
      </c>
      <c r="G86" s="45">
        <v>2019</v>
      </c>
      <c r="H86" s="45">
        <v>2019</v>
      </c>
      <c r="I86" s="46">
        <f>1.03+0.315</f>
        <v>1.345</v>
      </c>
      <c r="J86" s="33">
        <f t="shared" si="2"/>
        <v>1.345</v>
      </c>
      <c r="K86" s="34">
        <v>0</v>
      </c>
      <c r="L86" s="47"/>
      <c r="M86" s="47"/>
      <c r="N86" s="50"/>
      <c r="O86" s="50"/>
      <c r="P86" s="30">
        <v>0.4</v>
      </c>
      <c r="Q86" s="29"/>
      <c r="R86" s="29">
        <f t="shared" si="10"/>
        <v>0.4</v>
      </c>
      <c r="S86" s="29"/>
      <c r="T86" s="46"/>
      <c r="U86" s="46"/>
      <c r="V86" s="46">
        <f t="shared" si="9"/>
        <v>1.345</v>
      </c>
      <c r="W86" s="48">
        <f t="shared" si="0"/>
        <v>1.345</v>
      </c>
      <c r="X86" s="2"/>
    </row>
    <row r="87" spans="1:24" s="3" customFormat="1" ht="15.75">
      <c r="A87" s="38" t="s">
        <v>726</v>
      </c>
      <c r="B87" s="49" t="s">
        <v>729</v>
      </c>
      <c r="C87" s="30" t="s">
        <v>601</v>
      </c>
      <c r="D87" s="29"/>
      <c r="E87" s="51">
        <v>0.08</v>
      </c>
      <c r="F87" s="51">
        <v>0.01</v>
      </c>
      <c r="G87" s="45">
        <v>2019</v>
      </c>
      <c r="H87" s="45">
        <v>2019</v>
      </c>
      <c r="I87" s="46">
        <f>0.13+0.011</f>
        <v>0.14100000000000001</v>
      </c>
      <c r="J87" s="33">
        <f t="shared" si="2"/>
        <v>0.14100000000000001</v>
      </c>
      <c r="K87" s="34">
        <v>0</v>
      </c>
      <c r="L87" s="47"/>
      <c r="M87" s="47"/>
      <c r="N87" s="50"/>
      <c r="O87" s="50"/>
      <c r="P87" s="29"/>
      <c r="Q87" s="51">
        <v>0.08</v>
      </c>
      <c r="R87" s="51"/>
      <c r="S87" s="51">
        <f>M87+O87+Q87</f>
        <v>0.08</v>
      </c>
      <c r="T87" s="46"/>
      <c r="U87" s="46"/>
      <c r="V87" s="46">
        <f t="shared" si="9"/>
        <v>0.14100000000000001</v>
      </c>
      <c r="W87" s="48">
        <f t="shared" si="0"/>
        <v>0.14100000000000001</v>
      </c>
      <c r="X87" s="2"/>
    </row>
    <row r="88" spans="1:24" s="3" customFormat="1" ht="15.75">
      <c r="A88" s="38" t="s">
        <v>728</v>
      </c>
      <c r="B88" s="49" t="s">
        <v>731</v>
      </c>
      <c r="C88" s="30" t="s">
        <v>601</v>
      </c>
      <c r="D88" s="29"/>
      <c r="E88" s="51">
        <v>0.14</v>
      </c>
      <c r="F88" s="51">
        <v>0.01</v>
      </c>
      <c r="G88" s="45">
        <v>2019</v>
      </c>
      <c r="H88" s="45">
        <v>2019</v>
      </c>
      <c r="I88" s="46">
        <f>0.458+0.041</f>
        <v>0.499</v>
      </c>
      <c r="J88" s="33">
        <f t="shared" si="2"/>
        <v>0.499</v>
      </c>
      <c r="K88" s="34">
        <v>0</v>
      </c>
      <c r="L88" s="47"/>
      <c r="M88" s="47"/>
      <c r="N88" s="50"/>
      <c r="O88" s="50"/>
      <c r="P88" s="29"/>
      <c r="Q88" s="51">
        <v>0.14</v>
      </c>
      <c r="R88" s="51"/>
      <c r="S88" s="51">
        <f>M88+O88+Q88</f>
        <v>0.14</v>
      </c>
      <c r="T88" s="46"/>
      <c r="U88" s="46"/>
      <c r="V88" s="46">
        <f t="shared" si="9"/>
        <v>0.499</v>
      </c>
      <c r="W88" s="48">
        <f t="shared" si="0"/>
        <v>0.499</v>
      </c>
      <c r="X88" s="2"/>
    </row>
    <row r="89" spans="1:24" s="3" customFormat="1" ht="15.75">
      <c r="A89" s="38" t="s">
        <v>730</v>
      </c>
      <c r="B89" s="49" t="s">
        <v>733</v>
      </c>
      <c r="C89" s="30" t="s">
        <v>601</v>
      </c>
      <c r="D89" s="29"/>
      <c r="E89" s="51">
        <v>0.39</v>
      </c>
      <c r="F89" s="51">
        <v>0.01</v>
      </c>
      <c r="G89" s="45">
        <v>2019</v>
      </c>
      <c r="H89" s="45">
        <v>2019</v>
      </c>
      <c r="I89" s="46">
        <f>0.266+0.014</f>
        <v>0.28</v>
      </c>
      <c r="J89" s="33">
        <f t="shared" si="2"/>
        <v>0.28</v>
      </c>
      <c r="K89" s="34">
        <v>0</v>
      </c>
      <c r="L89" s="47"/>
      <c r="M89" s="47"/>
      <c r="N89" s="50"/>
      <c r="O89" s="50"/>
      <c r="P89" s="29"/>
      <c r="Q89" s="51">
        <v>0.39</v>
      </c>
      <c r="R89" s="51"/>
      <c r="S89" s="51">
        <f>M89+O89+Q89</f>
        <v>0.39</v>
      </c>
      <c r="T89" s="46"/>
      <c r="U89" s="46"/>
      <c r="V89" s="46">
        <f t="shared" si="9"/>
        <v>0.28</v>
      </c>
      <c r="W89" s="48">
        <f t="shared" si="0"/>
        <v>0.28</v>
      </c>
      <c r="X89" s="2"/>
    </row>
    <row r="90" spans="1:24" s="3" customFormat="1" ht="15.75">
      <c r="A90" s="38" t="s">
        <v>732</v>
      </c>
      <c r="B90" s="49" t="s">
        <v>734</v>
      </c>
      <c r="C90" s="30" t="s">
        <v>601</v>
      </c>
      <c r="D90" s="29"/>
      <c r="E90" s="51">
        <v>0.32</v>
      </c>
      <c r="F90" s="51">
        <v>0.02</v>
      </c>
      <c r="G90" s="45">
        <v>2019</v>
      </c>
      <c r="H90" s="45">
        <v>2019</v>
      </c>
      <c r="I90" s="46">
        <f>0.424+0.039</f>
        <v>0.46299999999999997</v>
      </c>
      <c r="J90" s="33">
        <f t="shared" si="2"/>
        <v>0.46299999999999997</v>
      </c>
      <c r="K90" s="34">
        <v>0</v>
      </c>
      <c r="L90" s="47"/>
      <c r="M90" s="47"/>
      <c r="N90" s="50"/>
      <c r="O90" s="50"/>
      <c r="P90" s="29"/>
      <c r="Q90" s="51">
        <v>0.32</v>
      </c>
      <c r="R90" s="51"/>
      <c r="S90" s="51">
        <f>M90+O90+Q90</f>
        <v>0.32</v>
      </c>
      <c r="T90" s="46"/>
      <c r="U90" s="46"/>
      <c r="V90" s="46">
        <f t="shared" si="9"/>
        <v>0.46299999999999997</v>
      </c>
      <c r="W90" s="48">
        <f t="shared" si="0"/>
        <v>0.46299999999999997</v>
      </c>
      <c r="X90" s="2"/>
    </row>
    <row r="91" spans="1:23" ht="37.5" customHeight="1">
      <c r="A91" s="52" t="s">
        <v>735</v>
      </c>
      <c r="B91" s="53" t="s">
        <v>736</v>
      </c>
      <c r="C91" s="54"/>
      <c r="D91" s="54"/>
      <c r="E91" s="54"/>
      <c r="F91" s="54"/>
      <c r="G91" s="54"/>
      <c r="H91" s="54"/>
      <c r="I91" s="55"/>
      <c r="J91" s="56"/>
      <c r="K91" s="57"/>
      <c r="L91" s="57"/>
      <c r="M91" s="57"/>
      <c r="N91" s="58"/>
      <c r="O91" s="58"/>
      <c r="P91" s="58"/>
      <c r="Q91" s="58"/>
      <c r="R91" s="54"/>
      <c r="S91" s="54"/>
      <c r="T91" s="59"/>
      <c r="U91" s="59"/>
      <c r="V91" s="57"/>
      <c r="W91" s="60"/>
    </row>
    <row r="92" spans="1:23" ht="15.75">
      <c r="A92" s="61"/>
      <c r="B92" s="62"/>
      <c r="C92" s="29"/>
      <c r="D92" s="29"/>
      <c r="E92" s="29"/>
      <c r="F92" s="29"/>
      <c r="G92" s="29"/>
      <c r="H92" s="29"/>
      <c r="I92" s="63"/>
      <c r="J92" s="64"/>
      <c r="K92" s="47"/>
      <c r="L92" s="47"/>
      <c r="M92" s="47"/>
      <c r="N92" s="50"/>
      <c r="O92" s="50"/>
      <c r="P92" s="50"/>
      <c r="Q92" s="50"/>
      <c r="R92" s="29"/>
      <c r="S92" s="29"/>
      <c r="T92" s="65"/>
      <c r="U92" s="65"/>
      <c r="V92" s="47"/>
      <c r="W92" s="66"/>
    </row>
    <row r="93" spans="1:23" ht="54.75" customHeight="1">
      <c r="A93" s="52" t="s">
        <v>737</v>
      </c>
      <c r="B93" s="53" t="s">
        <v>738</v>
      </c>
      <c r="C93" s="54"/>
      <c r="D93" s="54"/>
      <c r="E93" s="54"/>
      <c r="F93" s="54"/>
      <c r="G93" s="54"/>
      <c r="H93" s="54"/>
      <c r="I93" s="55"/>
      <c r="J93" s="56"/>
      <c r="K93" s="57"/>
      <c r="L93" s="57"/>
      <c r="M93" s="57"/>
      <c r="N93" s="58"/>
      <c r="O93" s="58"/>
      <c r="P93" s="58"/>
      <c r="Q93" s="58"/>
      <c r="R93" s="54"/>
      <c r="S93" s="54"/>
      <c r="T93" s="59"/>
      <c r="U93" s="59"/>
      <c r="V93" s="57"/>
      <c r="W93" s="60"/>
    </row>
    <row r="94" spans="1:23" ht="15.75">
      <c r="A94" s="61"/>
      <c r="B94" s="62"/>
      <c r="C94" s="29"/>
      <c r="D94" s="29"/>
      <c r="E94" s="29"/>
      <c r="F94" s="29"/>
      <c r="G94" s="29"/>
      <c r="H94" s="29"/>
      <c r="I94" s="63"/>
      <c r="J94" s="64"/>
      <c r="K94" s="47"/>
      <c r="L94" s="47"/>
      <c r="M94" s="47"/>
      <c r="N94" s="50"/>
      <c r="O94" s="50"/>
      <c r="P94" s="50"/>
      <c r="Q94" s="50"/>
      <c r="R94" s="29"/>
      <c r="S94" s="29"/>
      <c r="T94" s="65"/>
      <c r="U94" s="65"/>
      <c r="V94" s="47"/>
      <c r="W94" s="66"/>
    </row>
    <row r="95" spans="1:23" ht="47.25">
      <c r="A95" s="52" t="s">
        <v>739</v>
      </c>
      <c r="B95" s="53" t="s">
        <v>740</v>
      </c>
      <c r="C95" s="54"/>
      <c r="D95" s="54"/>
      <c r="E95" s="54"/>
      <c r="F95" s="54"/>
      <c r="G95" s="54"/>
      <c r="H95" s="54"/>
      <c r="I95" s="55"/>
      <c r="J95" s="56"/>
      <c r="K95" s="57"/>
      <c r="L95" s="57"/>
      <c r="M95" s="57"/>
      <c r="N95" s="58"/>
      <c r="O95" s="58"/>
      <c r="P95" s="58"/>
      <c r="Q95" s="58"/>
      <c r="R95" s="54"/>
      <c r="S95" s="54"/>
      <c r="T95" s="59"/>
      <c r="U95" s="59"/>
      <c r="V95" s="57"/>
      <c r="W95" s="60"/>
    </row>
    <row r="96" spans="1:23" ht="34.5" customHeight="1">
      <c r="A96" s="61"/>
      <c r="B96" s="62"/>
      <c r="C96" s="29"/>
      <c r="D96" s="29"/>
      <c r="E96" s="29"/>
      <c r="F96" s="29"/>
      <c r="G96" s="29"/>
      <c r="H96" s="29"/>
      <c r="I96" s="63"/>
      <c r="J96" s="64"/>
      <c r="K96" s="47"/>
      <c r="L96" s="47"/>
      <c r="M96" s="47"/>
      <c r="N96" s="50"/>
      <c r="O96" s="50"/>
      <c r="P96" s="50"/>
      <c r="Q96" s="50"/>
      <c r="R96" s="29"/>
      <c r="S96" s="29"/>
      <c r="T96" s="65"/>
      <c r="U96" s="65"/>
      <c r="V96" s="47"/>
      <c r="W96" s="66"/>
    </row>
    <row r="97" spans="1:23" ht="15.75">
      <c r="A97" s="67" t="s">
        <v>741</v>
      </c>
      <c r="B97" s="68" t="s">
        <v>742</v>
      </c>
      <c r="C97" s="68"/>
      <c r="D97" s="68"/>
      <c r="E97" s="68">
        <f>E98</f>
        <v>0.37</v>
      </c>
      <c r="F97" s="69">
        <f>F98+F100</f>
        <v>0</v>
      </c>
      <c r="G97" s="68"/>
      <c r="H97" s="68"/>
      <c r="I97" s="70">
        <f>I98+I100</f>
        <v>1.68</v>
      </c>
      <c r="J97" s="70">
        <f>J98+J100</f>
        <v>1.68</v>
      </c>
      <c r="K97" s="70">
        <f>K98+K100</f>
        <v>0</v>
      </c>
      <c r="L97" s="68"/>
      <c r="M97" s="70">
        <f>M98+M100</f>
        <v>0.37</v>
      </c>
      <c r="N97" s="68"/>
      <c r="O97" s="68"/>
      <c r="P97" s="68"/>
      <c r="Q97" s="68"/>
      <c r="R97" s="68"/>
      <c r="S97" s="70">
        <f>S98+S100</f>
        <v>0.37</v>
      </c>
      <c r="T97" s="70">
        <f>T98+T100</f>
        <v>1.68</v>
      </c>
      <c r="U97" s="70">
        <f>U98+U100</f>
        <v>0</v>
      </c>
      <c r="V97" s="71">
        <f>V98+V100</f>
        <v>0</v>
      </c>
      <c r="W97" s="72">
        <f aca="true" t="shared" si="11" ref="W97:W103">SUM(T97:V97)</f>
        <v>1.68</v>
      </c>
    </row>
    <row r="98" spans="1:23" ht="31.5">
      <c r="A98" s="22" t="s">
        <v>743</v>
      </c>
      <c r="B98" s="23" t="s">
        <v>595</v>
      </c>
      <c r="C98" s="23"/>
      <c r="D98" s="23"/>
      <c r="E98" s="23">
        <f>E99</f>
        <v>0.37</v>
      </c>
      <c r="F98" s="23"/>
      <c r="G98" s="23"/>
      <c r="H98" s="23"/>
      <c r="I98" s="24">
        <f>SUM(I99:I99)</f>
        <v>1.68</v>
      </c>
      <c r="J98" s="24">
        <f>SUM(J99:J99)</f>
        <v>1.68</v>
      </c>
      <c r="K98" s="24">
        <f>SUM(K99:K99)</f>
        <v>0</v>
      </c>
      <c r="L98" s="23"/>
      <c r="M98" s="24">
        <f>SUM(M99:M99)</f>
        <v>0.37</v>
      </c>
      <c r="N98" s="23"/>
      <c r="O98" s="23"/>
      <c r="P98" s="23"/>
      <c r="Q98" s="23"/>
      <c r="R98" s="23"/>
      <c r="S98" s="24">
        <f>SUM(S99:S99)</f>
        <v>0.37</v>
      </c>
      <c r="T98" s="24">
        <f>SUM(T99:T99)</f>
        <v>1.68</v>
      </c>
      <c r="U98" s="73">
        <f>SUM(U99:U99)</f>
        <v>0</v>
      </c>
      <c r="V98" s="73">
        <f>SUM(V99:V99)</f>
        <v>0</v>
      </c>
      <c r="W98" s="26">
        <f t="shared" si="11"/>
        <v>1.68</v>
      </c>
    </row>
    <row r="99" spans="1:23" ht="15.75">
      <c r="A99" s="74" t="s">
        <v>744</v>
      </c>
      <c r="B99" s="75" t="s">
        <v>745</v>
      </c>
      <c r="C99" s="29" t="s">
        <v>598</v>
      </c>
      <c r="D99" s="76"/>
      <c r="E99" s="76">
        <v>0.37</v>
      </c>
      <c r="F99" s="76">
        <v>0</v>
      </c>
      <c r="G99" s="76">
        <v>2017</v>
      </c>
      <c r="H99" s="76">
        <v>2017</v>
      </c>
      <c r="I99" s="77">
        <f>(1.48+0.2)</f>
        <v>1.68</v>
      </c>
      <c r="J99" s="33">
        <f>T99+U99+V99</f>
        <v>1.68</v>
      </c>
      <c r="K99" s="34">
        <v>0</v>
      </c>
      <c r="L99" s="78"/>
      <c r="M99" s="78">
        <v>0.37</v>
      </c>
      <c r="N99" s="50"/>
      <c r="O99" s="50"/>
      <c r="P99" s="50"/>
      <c r="Q99" s="50"/>
      <c r="R99" s="29"/>
      <c r="S99" s="46">
        <f>M99</f>
        <v>0.37</v>
      </c>
      <c r="T99" s="77">
        <f>(1.48+0.2)</f>
        <v>1.68</v>
      </c>
      <c r="U99" s="47"/>
      <c r="V99" s="47"/>
      <c r="W99" s="48">
        <f t="shared" si="11"/>
        <v>1.68</v>
      </c>
    </row>
    <row r="100" spans="1:23" ht="28.5" customHeight="1">
      <c r="A100" s="22" t="s">
        <v>746</v>
      </c>
      <c r="B100" s="23" t="s">
        <v>747</v>
      </c>
      <c r="C100" s="23"/>
      <c r="D100" s="23"/>
      <c r="E100" s="23"/>
      <c r="F100" s="79">
        <f>F101+F103+F105</f>
        <v>0</v>
      </c>
      <c r="G100" s="23"/>
      <c r="H100" s="23"/>
      <c r="I100" s="24">
        <f>I101+I103+I105</f>
        <v>0</v>
      </c>
      <c r="J100" s="24">
        <f>J101+J103+J105</f>
        <v>0</v>
      </c>
      <c r="K100" s="24">
        <f>K101+K103+K105</f>
        <v>0</v>
      </c>
      <c r="L100" s="23"/>
      <c r="M100" s="23"/>
      <c r="N100" s="23"/>
      <c r="O100" s="23"/>
      <c r="P100" s="23"/>
      <c r="Q100" s="23"/>
      <c r="R100" s="23"/>
      <c r="S100" s="23"/>
      <c r="T100" s="24">
        <f>T101+T103+T105</f>
        <v>0</v>
      </c>
      <c r="U100" s="24">
        <f>U101+U103+U105</f>
        <v>0</v>
      </c>
      <c r="V100" s="73">
        <f>V101+V103+V105</f>
        <v>0</v>
      </c>
      <c r="W100" s="26">
        <f t="shared" si="11"/>
        <v>0</v>
      </c>
    </row>
    <row r="101" spans="1:23" ht="34.5" customHeight="1">
      <c r="A101" s="22" t="s">
        <v>748</v>
      </c>
      <c r="B101" s="23" t="s">
        <v>749</v>
      </c>
      <c r="C101" s="23"/>
      <c r="D101" s="23"/>
      <c r="E101" s="23"/>
      <c r="F101" s="23"/>
      <c r="G101" s="25"/>
      <c r="H101" s="25"/>
      <c r="I101" s="24">
        <f>SUM(I102:I102)</f>
        <v>0</v>
      </c>
      <c r="J101" s="24">
        <f>SUM(J102:J102)</f>
        <v>0</v>
      </c>
      <c r="K101" s="24">
        <f>SUM(K102:K102)</f>
        <v>0</v>
      </c>
      <c r="L101" s="23"/>
      <c r="M101" s="23"/>
      <c r="N101" s="23"/>
      <c r="O101" s="23"/>
      <c r="P101" s="23"/>
      <c r="Q101" s="23"/>
      <c r="R101" s="23"/>
      <c r="S101" s="23"/>
      <c r="T101" s="24">
        <f>SUM(T102:T102)</f>
        <v>0</v>
      </c>
      <c r="U101" s="24">
        <f>SUM(U102:U102)</f>
        <v>0</v>
      </c>
      <c r="V101" s="73">
        <f>SUM(V102:V102)</f>
        <v>0</v>
      </c>
      <c r="W101" s="26">
        <f t="shared" si="11"/>
        <v>0</v>
      </c>
    </row>
    <row r="102" spans="1:23" ht="15.75">
      <c r="A102" s="74"/>
      <c r="B102" s="75"/>
      <c r="C102" s="29"/>
      <c r="D102" s="76"/>
      <c r="E102" s="76"/>
      <c r="F102" s="76"/>
      <c r="G102" s="29"/>
      <c r="H102" s="29"/>
      <c r="I102" s="77"/>
      <c r="J102" s="77"/>
      <c r="K102" s="77"/>
      <c r="L102" s="76"/>
      <c r="M102" s="76"/>
      <c r="N102" s="50"/>
      <c r="O102" s="50"/>
      <c r="P102" s="50"/>
      <c r="Q102" s="50"/>
      <c r="R102" s="76"/>
      <c r="S102" s="76"/>
      <c r="T102" s="77"/>
      <c r="U102" s="47"/>
      <c r="V102" s="47"/>
      <c r="W102" s="48">
        <f t="shared" si="11"/>
        <v>0</v>
      </c>
    </row>
    <row r="103" spans="1:23" ht="32.25" customHeight="1">
      <c r="A103" s="80" t="s">
        <v>750</v>
      </c>
      <c r="B103" s="81" t="s">
        <v>751</v>
      </c>
      <c r="C103" s="82"/>
      <c r="D103" s="82"/>
      <c r="E103" s="82"/>
      <c r="F103" s="82"/>
      <c r="G103" s="82"/>
      <c r="H103" s="82"/>
      <c r="I103" s="24">
        <f>SUM(I104:I104)</f>
        <v>0</v>
      </c>
      <c r="J103" s="24">
        <f>SUM(J104:J104)</f>
        <v>0</v>
      </c>
      <c r="K103" s="24">
        <f>SUM(K104:K104)</f>
        <v>0</v>
      </c>
      <c r="L103" s="82"/>
      <c r="M103" s="82"/>
      <c r="N103" s="83"/>
      <c r="O103" s="83"/>
      <c r="P103" s="83"/>
      <c r="Q103" s="83"/>
      <c r="R103" s="82"/>
      <c r="S103" s="82"/>
      <c r="T103" s="84">
        <f>SUM(T104:T104)</f>
        <v>0</v>
      </c>
      <c r="U103" s="84">
        <f>SUM(U104:U104)</f>
        <v>0</v>
      </c>
      <c r="V103" s="85">
        <f>SUM(V104:V104)</f>
        <v>0</v>
      </c>
      <c r="W103" s="26">
        <f t="shared" si="11"/>
        <v>0</v>
      </c>
    </row>
    <row r="104" spans="1:23" ht="18.75" customHeight="1">
      <c r="A104" s="86"/>
      <c r="B104" s="43"/>
      <c r="C104" s="29"/>
      <c r="D104" s="29"/>
      <c r="E104" s="29"/>
      <c r="F104" s="29"/>
      <c r="G104" s="76"/>
      <c r="H104" s="76"/>
      <c r="I104" s="77"/>
      <c r="J104" s="77"/>
      <c r="K104" s="77"/>
      <c r="L104" s="78"/>
      <c r="M104" s="78"/>
      <c r="N104" s="50"/>
      <c r="O104" s="50"/>
      <c r="P104" s="50"/>
      <c r="Q104" s="50"/>
      <c r="R104" s="87"/>
      <c r="S104" s="29"/>
      <c r="T104" s="32"/>
      <c r="U104" s="78"/>
      <c r="V104" s="47"/>
      <c r="W104" s="48"/>
    </row>
    <row r="105" spans="1:23" ht="15.75" customHeight="1">
      <c r="A105" s="80" t="s">
        <v>752</v>
      </c>
      <c r="B105" s="81" t="s">
        <v>753</v>
      </c>
      <c r="C105" s="82"/>
      <c r="D105" s="82" t="s">
        <v>556</v>
      </c>
      <c r="E105" s="82"/>
      <c r="F105" s="82"/>
      <c r="G105" s="82"/>
      <c r="H105" s="82"/>
      <c r="I105" s="24">
        <f>SUM(I106:I106)</f>
        <v>0</v>
      </c>
      <c r="J105" s="24">
        <f>SUM(J106:J106)</f>
        <v>0</v>
      </c>
      <c r="K105" s="24">
        <f>SUM(K106:K106)</f>
        <v>0</v>
      </c>
      <c r="L105" s="82"/>
      <c r="M105" s="82"/>
      <c r="N105" s="83"/>
      <c r="O105" s="83"/>
      <c r="P105" s="83"/>
      <c r="Q105" s="83"/>
      <c r="R105" s="82"/>
      <c r="S105" s="82"/>
      <c r="T105" s="24">
        <f>SUM(T106:T106)</f>
        <v>0</v>
      </c>
      <c r="U105" s="24">
        <f>SUM(U106:U106)</f>
        <v>0</v>
      </c>
      <c r="V105" s="24">
        <f>SUM(V106:V106)</f>
        <v>0</v>
      </c>
      <c r="W105" s="26">
        <f>SUM(T105:V105)</f>
        <v>0</v>
      </c>
    </row>
    <row r="106" spans="1:23" ht="15.75" customHeight="1">
      <c r="A106" s="86"/>
      <c r="B106" s="43"/>
      <c r="C106" s="29"/>
      <c r="D106" s="29"/>
      <c r="E106" s="29"/>
      <c r="F106" s="29"/>
      <c r="G106" s="76"/>
      <c r="H106" s="76"/>
      <c r="I106" s="77"/>
      <c r="J106" s="77"/>
      <c r="K106" s="77"/>
      <c r="L106" s="78"/>
      <c r="M106" s="78"/>
      <c r="N106" s="50"/>
      <c r="O106" s="50"/>
      <c r="P106" s="50"/>
      <c r="Q106" s="50"/>
      <c r="R106" s="87"/>
      <c r="S106" s="29"/>
      <c r="T106" s="32"/>
      <c r="U106" s="47"/>
      <c r="V106" s="47"/>
      <c r="W106" s="48"/>
    </row>
    <row r="107" spans="1:23" ht="15.75">
      <c r="A107" s="80" t="s">
        <v>754</v>
      </c>
      <c r="B107" s="81" t="s">
        <v>755</v>
      </c>
      <c r="C107" s="82"/>
      <c r="D107" s="82" t="s">
        <v>556</v>
      </c>
      <c r="E107" s="82"/>
      <c r="F107" s="82"/>
      <c r="G107" s="82"/>
      <c r="H107" s="82"/>
      <c r="I107" s="24">
        <v>20.25</v>
      </c>
      <c r="J107" s="24">
        <v>20.25</v>
      </c>
      <c r="K107" s="24">
        <v>0</v>
      </c>
      <c r="L107" s="82"/>
      <c r="M107" s="82"/>
      <c r="N107" s="83"/>
      <c r="O107" s="83"/>
      <c r="P107" s="83"/>
      <c r="Q107" s="83"/>
      <c r="R107" s="82"/>
      <c r="S107" s="82"/>
      <c r="T107" s="24">
        <v>6.25</v>
      </c>
      <c r="U107" s="24">
        <v>7.05</v>
      </c>
      <c r="V107" s="24">
        <v>6.95</v>
      </c>
      <c r="W107" s="26">
        <v>20.25</v>
      </c>
    </row>
    <row r="108" spans="1:23" ht="15.75">
      <c r="A108" s="591" t="s">
        <v>758</v>
      </c>
      <c r="B108" s="591"/>
      <c r="C108" s="88"/>
      <c r="D108" s="88"/>
      <c r="E108" s="88"/>
      <c r="F108" s="88"/>
      <c r="G108" s="88"/>
      <c r="H108" s="88"/>
      <c r="I108" s="88"/>
      <c r="J108" s="88"/>
      <c r="K108" s="68"/>
      <c r="L108" s="76"/>
      <c r="M108" s="76"/>
      <c r="N108" s="76"/>
      <c r="O108" s="76"/>
      <c r="P108" s="76"/>
      <c r="Q108" s="76"/>
      <c r="R108" s="76"/>
      <c r="S108" s="76"/>
      <c r="T108" s="63"/>
      <c r="U108" s="89"/>
      <c r="V108" s="63"/>
      <c r="W108" s="66"/>
    </row>
    <row r="109" spans="1:23" ht="31.5">
      <c r="A109" s="22"/>
      <c r="B109" s="23" t="s">
        <v>759</v>
      </c>
      <c r="C109" s="90"/>
      <c r="D109" s="90"/>
      <c r="E109" s="90"/>
      <c r="F109" s="90"/>
      <c r="G109" s="90"/>
      <c r="H109" s="90"/>
      <c r="I109" s="90"/>
      <c r="J109" s="90"/>
      <c r="K109" s="23"/>
      <c r="L109" s="25"/>
      <c r="M109" s="25"/>
      <c r="N109" s="25"/>
      <c r="O109" s="25"/>
      <c r="P109" s="25"/>
      <c r="Q109" s="25"/>
      <c r="R109" s="25"/>
      <c r="S109" s="25"/>
      <c r="T109" s="55"/>
      <c r="U109" s="55"/>
      <c r="V109" s="55"/>
      <c r="W109" s="60"/>
    </row>
    <row r="110" spans="1:23" ht="15.75">
      <c r="A110" s="91" t="s">
        <v>760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3"/>
      <c r="L110" s="92"/>
      <c r="M110" s="92"/>
      <c r="N110" s="92"/>
      <c r="O110" s="92"/>
      <c r="P110" s="92"/>
      <c r="Q110" s="92"/>
      <c r="R110" s="92"/>
      <c r="S110" s="92"/>
      <c r="T110" s="94"/>
      <c r="U110" s="94"/>
      <c r="V110" s="94"/>
      <c r="W110" s="95"/>
    </row>
    <row r="111" spans="1:23" ht="15.75">
      <c r="A111" s="96"/>
      <c r="B111" s="97"/>
      <c r="C111" s="97"/>
      <c r="D111" s="98"/>
      <c r="E111" s="98"/>
      <c r="F111" s="98"/>
      <c r="G111" s="98"/>
      <c r="H111" s="98"/>
      <c r="I111" s="98"/>
      <c r="J111" s="98"/>
      <c r="K111" s="99"/>
      <c r="L111" s="97"/>
      <c r="M111" s="97"/>
      <c r="N111" s="97"/>
      <c r="O111" s="97"/>
      <c r="P111" s="97"/>
      <c r="Q111" s="97"/>
      <c r="R111" s="97"/>
      <c r="S111" s="97"/>
      <c r="T111" s="100"/>
      <c r="U111" s="100"/>
      <c r="V111" s="100"/>
      <c r="W111" s="101"/>
    </row>
    <row r="112" spans="1:22" ht="15.75">
      <c r="A112" s="102"/>
      <c r="B112" s="2" t="s">
        <v>761</v>
      </c>
      <c r="J112" s="3"/>
      <c r="K112" s="4"/>
      <c r="O112" s="2"/>
      <c r="P112" s="2"/>
      <c r="Q112" s="2"/>
      <c r="T112" s="5"/>
      <c r="U112" s="5"/>
      <c r="V112" s="5"/>
    </row>
    <row r="113" spans="1:22" ht="18.75" customHeight="1">
      <c r="A113" s="103"/>
      <c r="B113" s="2" t="s">
        <v>762</v>
      </c>
      <c r="J113" s="3"/>
      <c r="K113" s="4"/>
      <c r="O113" s="2"/>
      <c r="P113" s="2"/>
      <c r="Q113" s="2"/>
      <c r="T113" s="5"/>
      <c r="U113" s="5"/>
      <c r="V113" s="5"/>
    </row>
    <row r="114" spans="1:22" ht="15.75" customHeight="1">
      <c r="A114" s="103"/>
      <c r="B114" s="98" t="s">
        <v>763</v>
      </c>
      <c r="J114" s="3"/>
      <c r="K114" s="4"/>
      <c r="O114" s="2"/>
      <c r="P114" s="2"/>
      <c r="Q114" s="2"/>
      <c r="T114" s="5"/>
      <c r="U114" s="5"/>
      <c r="V114" s="5"/>
    </row>
    <row r="115" spans="2:23" ht="15.75" customHeight="1">
      <c r="B115" s="592" t="s">
        <v>764</v>
      </c>
      <c r="C115" s="592"/>
      <c r="D115" s="592"/>
      <c r="E115" s="104"/>
      <c r="F115" s="104"/>
      <c r="G115" s="105"/>
      <c r="H115" s="105"/>
      <c r="I115" s="105"/>
      <c r="J115" s="105"/>
      <c r="K115" s="4"/>
      <c r="O115" s="2"/>
      <c r="P115" s="2"/>
      <c r="Q115" s="2"/>
      <c r="T115" s="106"/>
      <c r="U115" s="106"/>
      <c r="V115" s="5"/>
      <c r="W115" s="107"/>
    </row>
    <row r="116" spans="2:23" ht="15.75" customHeight="1">
      <c r="B116" s="105"/>
      <c r="C116" s="105"/>
      <c r="G116" s="105"/>
      <c r="H116" s="105"/>
      <c r="I116" s="105"/>
      <c r="J116" s="105"/>
      <c r="K116" s="4"/>
      <c r="O116" s="2"/>
      <c r="P116" s="2"/>
      <c r="Q116" s="2"/>
      <c r="T116" s="106"/>
      <c r="U116" s="106"/>
      <c r="V116" s="5"/>
      <c r="W116" s="107"/>
    </row>
    <row r="117" spans="1:22" ht="18" customHeight="1">
      <c r="A117" s="103"/>
      <c r="B117" s="592" t="s">
        <v>765</v>
      </c>
      <c r="C117" s="592"/>
      <c r="D117" s="592"/>
      <c r="E117" s="592"/>
      <c r="F117" s="592"/>
      <c r="G117" s="592"/>
      <c r="H117" s="592"/>
      <c r="I117" s="592"/>
      <c r="J117" s="592"/>
      <c r="K117" s="4"/>
      <c r="O117" s="2"/>
      <c r="P117" s="2"/>
      <c r="Q117" s="2"/>
      <c r="T117" s="5"/>
      <c r="U117" s="5"/>
      <c r="V117" s="5"/>
    </row>
  </sheetData>
  <sheetProtection selectLockedCells="1" selectUnlockedCells="1"/>
  <mergeCells count="21">
    <mergeCell ref="A5:W5"/>
    <mergeCell ref="A6:W6"/>
    <mergeCell ref="A15:A17"/>
    <mergeCell ref="B15:B17"/>
    <mergeCell ref="C15:C16"/>
    <mergeCell ref="D15:E16"/>
    <mergeCell ref="F15:F17"/>
    <mergeCell ref="G15:G17"/>
    <mergeCell ref="H15:H17"/>
    <mergeCell ref="I15:I16"/>
    <mergeCell ref="K15:K16"/>
    <mergeCell ref="L15:S15"/>
    <mergeCell ref="T15:W15"/>
    <mergeCell ref="L16:M16"/>
    <mergeCell ref="N16:O16"/>
    <mergeCell ref="P16:Q16"/>
    <mergeCell ref="R16:S16"/>
    <mergeCell ref="A108:B108"/>
    <mergeCell ref="B115:D115"/>
    <mergeCell ref="B117:J117"/>
    <mergeCell ref="J15:J16"/>
  </mergeCells>
  <printOptions/>
  <pageMargins left="0.7875" right="0.39375" top="0.27" bottom="0.39375" header="0.43" footer="0.5118055555555555"/>
  <pageSetup horizontalDpi="600" verticalDpi="6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Z54"/>
  <sheetViews>
    <sheetView workbookViewId="0" topLeftCell="A1">
      <selection activeCell="A1" sqref="A1"/>
    </sheetView>
  </sheetViews>
  <sheetFormatPr defaultColWidth="9.00390625" defaultRowHeight="15.75"/>
  <cols>
    <col min="1" max="52" width="1.37890625" style="0" customWidth="1"/>
  </cols>
  <sheetData>
    <row r="1" spans="1:52" ht="15.75">
      <c r="A1" s="547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489" t="s">
        <v>519</v>
      </c>
    </row>
    <row r="2" spans="1:52" ht="15.75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489" t="s">
        <v>465</v>
      </c>
    </row>
    <row r="3" spans="1:52" ht="15.75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489" t="s">
        <v>466</v>
      </c>
    </row>
    <row r="4" spans="1:52" ht="15.75">
      <c r="A4" s="548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489" t="s">
        <v>467</v>
      </c>
    </row>
    <row r="5" spans="1:52" ht="18.75">
      <c r="A5" s="548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50"/>
    </row>
    <row r="6" spans="1:52" ht="18.75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51" t="s">
        <v>520</v>
      </c>
    </row>
    <row r="7" spans="1:52" ht="18.75">
      <c r="A7" s="548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52" t="s">
        <v>769</v>
      </c>
    </row>
    <row r="8" spans="1:52" ht="15.75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8"/>
      <c r="AP8" s="548"/>
      <c r="AQ8" s="548"/>
      <c r="AR8" s="548"/>
      <c r="AS8" s="548"/>
      <c r="AT8" s="548"/>
      <c r="AU8" s="548"/>
      <c r="AV8" s="548"/>
      <c r="AW8" s="548"/>
      <c r="AX8" s="548"/>
      <c r="AY8" s="548"/>
      <c r="AZ8" s="552" t="s">
        <v>521</v>
      </c>
    </row>
    <row r="9" spans="1:52" ht="15.75">
      <c r="A9" s="548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52"/>
    </row>
    <row r="10" spans="1:52" ht="15.75">
      <c r="A10" s="548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52" t="s">
        <v>522</v>
      </c>
    </row>
    <row r="11" spans="1:52" ht="15.75">
      <c r="A11" s="548"/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53"/>
      <c r="AV11" s="553"/>
      <c r="AW11" s="553"/>
      <c r="AX11" s="553"/>
      <c r="AY11" s="553"/>
      <c r="AZ11" s="553"/>
    </row>
    <row r="12" spans="1:52" ht="15.75">
      <c r="A12" s="554" t="s">
        <v>523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6"/>
      <c r="AS12" s="556"/>
      <c r="AT12" s="556"/>
      <c r="AU12" s="557"/>
      <c r="AV12" s="557"/>
      <c r="AW12" s="557"/>
      <c r="AX12" s="557"/>
      <c r="AY12" s="557"/>
      <c r="AZ12" s="557"/>
    </row>
    <row r="13" spans="1:52" ht="15.75">
      <c r="A13" s="554" t="s">
        <v>524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8"/>
    </row>
    <row r="14" spans="1:52" ht="16.5" thickBot="1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</row>
    <row r="15" spans="1:52" ht="16.5" thickBot="1">
      <c r="A15" s="670"/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>
        <v>2017</v>
      </c>
      <c r="AD15" s="663"/>
      <c r="AE15" s="663"/>
      <c r="AF15" s="663"/>
      <c r="AG15" s="663"/>
      <c r="AH15" s="663"/>
      <c r="AI15" s="663">
        <v>2016</v>
      </c>
      <c r="AJ15" s="663"/>
      <c r="AK15" s="663"/>
      <c r="AL15" s="663"/>
      <c r="AM15" s="663"/>
      <c r="AN15" s="663"/>
      <c r="AO15" s="663">
        <v>2017</v>
      </c>
      <c r="AP15" s="663"/>
      <c r="AQ15" s="663"/>
      <c r="AR15" s="663"/>
      <c r="AS15" s="663"/>
      <c r="AT15" s="663"/>
      <c r="AU15" s="663" t="s">
        <v>583</v>
      </c>
      <c r="AV15" s="663"/>
      <c r="AW15" s="663"/>
      <c r="AX15" s="663"/>
      <c r="AY15" s="663"/>
      <c r="AZ15" s="664"/>
    </row>
    <row r="16" spans="1:52" ht="15.75">
      <c r="A16" s="665" t="s">
        <v>525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7">
        <f>'[2]приложение 4.1'!C18</f>
        <v>405.99</v>
      </c>
      <c r="AD16" s="668"/>
      <c r="AE16" s="668"/>
      <c r="AF16" s="668"/>
      <c r="AG16" s="668"/>
      <c r="AH16" s="668"/>
      <c r="AI16" s="667">
        <f>'[2]приложение 4.1'!D18</f>
        <v>376.81</v>
      </c>
      <c r="AJ16" s="668"/>
      <c r="AK16" s="668"/>
      <c r="AL16" s="668"/>
      <c r="AM16" s="668"/>
      <c r="AN16" s="668"/>
      <c r="AO16" s="667">
        <f>'[2]приложение 4.1'!E18</f>
        <v>399.69</v>
      </c>
      <c r="AP16" s="668"/>
      <c r="AQ16" s="668"/>
      <c r="AR16" s="668"/>
      <c r="AS16" s="668"/>
      <c r="AT16" s="668"/>
      <c r="AU16" s="667">
        <f aca="true" t="shared" si="0" ref="AU16:AU25">AC16+AI16+AO16</f>
        <v>1182.49</v>
      </c>
      <c r="AV16" s="668"/>
      <c r="AW16" s="668"/>
      <c r="AX16" s="668"/>
      <c r="AY16" s="668"/>
      <c r="AZ16" s="669"/>
    </row>
    <row r="17" spans="1:52" ht="15.75">
      <c r="A17" s="661" t="s">
        <v>526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2"/>
      <c r="X17" s="662"/>
      <c r="Y17" s="662"/>
      <c r="Z17" s="662"/>
      <c r="AA17" s="662"/>
      <c r="AB17" s="662"/>
      <c r="AC17" s="653">
        <f>AC16-'[2]приложение 4.1'!C46-'[2]приложение 4.1'!C42</f>
        <v>388.9</v>
      </c>
      <c r="AD17" s="654"/>
      <c r="AE17" s="654"/>
      <c r="AF17" s="654"/>
      <c r="AG17" s="654"/>
      <c r="AH17" s="654"/>
      <c r="AI17" s="653">
        <f>AI16-'[2]приложение 4.1'!D46-'[2]приложение 4.1'!D42</f>
        <v>366.52</v>
      </c>
      <c r="AJ17" s="654"/>
      <c r="AK17" s="654"/>
      <c r="AL17" s="654"/>
      <c r="AM17" s="654"/>
      <c r="AN17" s="654"/>
      <c r="AO17" s="653">
        <f>AO16-'[2]приложение 4.1'!E46-'[2]приложение 4.1'!E42</f>
        <v>380.98999999999995</v>
      </c>
      <c r="AP17" s="654"/>
      <c r="AQ17" s="654"/>
      <c r="AR17" s="654"/>
      <c r="AS17" s="654"/>
      <c r="AT17" s="654"/>
      <c r="AU17" s="643">
        <f>AC17+AI17+AO17</f>
        <v>1136.4099999999999</v>
      </c>
      <c r="AV17" s="644"/>
      <c r="AW17" s="644"/>
      <c r="AX17" s="644"/>
      <c r="AY17" s="644"/>
      <c r="AZ17" s="645"/>
    </row>
    <row r="18" spans="1:52" ht="15.75">
      <c r="A18" s="646" t="s">
        <v>527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60"/>
      <c r="AC18" s="654">
        <f>ROUND('[2]приложение 4.1'!C23+'[2]приложение 4.1'!C29+'[2]приложение 4.1'!C28*0.678+0.873,2)</f>
        <v>229.01</v>
      </c>
      <c r="AD18" s="654"/>
      <c r="AE18" s="654"/>
      <c r="AF18" s="654"/>
      <c r="AG18" s="654"/>
      <c r="AH18" s="654"/>
      <c r="AI18" s="654">
        <f>ROUND('[2]приложение 4.1'!D23+'[2]приложение 4.1'!D29+'[2]приложение 4.1'!D28*0.678+0.909,2)</f>
        <v>239.85</v>
      </c>
      <c r="AJ18" s="654"/>
      <c r="AK18" s="654"/>
      <c r="AL18" s="654"/>
      <c r="AM18" s="654"/>
      <c r="AN18" s="654"/>
      <c r="AO18" s="654">
        <f>ROUND('[2]приложение 4.1'!E23+'[2]приложение 4.1'!E29+'[2]приложение 4.1'!E28*0.678+0.948,2)</f>
        <v>250.31</v>
      </c>
      <c r="AP18" s="654"/>
      <c r="AQ18" s="654"/>
      <c r="AR18" s="654"/>
      <c r="AS18" s="654"/>
      <c r="AT18" s="654"/>
      <c r="AU18" s="643">
        <f t="shared" si="0"/>
        <v>719.1700000000001</v>
      </c>
      <c r="AV18" s="644"/>
      <c r="AW18" s="644"/>
      <c r="AX18" s="644"/>
      <c r="AY18" s="644"/>
      <c r="AZ18" s="645"/>
    </row>
    <row r="19" spans="1:52" ht="15.75">
      <c r="A19" s="646" t="s">
        <v>528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8"/>
      <c r="AC19" s="643">
        <f>AC17-AC18</f>
        <v>159.89</v>
      </c>
      <c r="AD19" s="644"/>
      <c r="AE19" s="644"/>
      <c r="AF19" s="644"/>
      <c r="AG19" s="644"/>
      <c r="AH19" s="644"/>
      <c r="AI19" s="643">
        <f>AI17-AI18</f>
        <v>126.66999999999999</v>
      </c>
      <c r="AJ19" s="644"/>
      <c r="AK19" s="644"/>
      <c r="AL19" s="644"/>
      <c r="AM19" s="644"/>
      <c r="AN19" s="644"/>
      <c r="AO19" s="643">
        <f>AO17-AO18</f>
        <v>130.67999999999995</v>
      </c>
      <c r="AP19" s="644"/>
      <c r="AQ19" s="644"/>
      <c r="AR19" s="644"/>
      <c r="AS19" s="644"/>
      <c r="AT19" s="644"/>
      <c r="AU19" s="643">
        <f t="shared" si="0"/>
        <v>417.2399999999999</v>
      </c>
      <c r="AV19" s="644"/>
      <c r="AW19" s="644"/>
      <c r="AX19" s="644"/>
      <c r="AY19" s="644"/>
      <c r="AZ19" s="645"/>
    </row>
    <row r="20" spans="1:52" ht="15.75">
      <c r="A20" s="646" t="s">
        <v>529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8"/>
      <c r="AC20" s="653">
        <f>AC16-AC17</f>
        <v>17.090000000000032</v>
      </c>
      <c r="AD20" s="654"/>
      <c r="AE20" s="654"/>
      <c r="AF20" s="654"/>
      <c r="AG20" s="654"/>
      <c r="AH20" s="654"/>
      <c r="AI20" s="653">
        <f>AI16-AI17</f>
        <v>10.29000000000002</v>
      </c>
      <c r="AJ20" s="654"/>
      <c r="AK20" s="654"/>
      <c r="AL20" s="654"/>
      <c r="AM20" s="654"/>
      <c r="AN20" s="654"/>
      <c r="AO20" s="653">
        <f>AO16-AO17</f>
        <v>18.700000000000045</v>
      </c>
      <c r="AP20" s="654"/>
      <c r="AQ20" s="654"/>
      <c r="AR20" s="654"/>
      <c r="AS20" s="654"/>
      <c r="AT20" s="654"/>
      <c r="AU20" s="643">
        <f t="shared" si="0"/>
        <v>46.0800000000001</v>
      </c>
      <c r="AV20" s="644"/>
      <c r="AW20" s="644"/>
      <c r="AX20" s="644"/>
      <c r="AY20" s="644"/>
      <c r="AZ20" s="645"/>
    </row>
    <row r="21" spans="1:52" ht="15.75">
      <c r="A21" s="646" t="s">
        <v>530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8"/>
      <c r="AC21" s="653">
        <f>'[2]приложение 4.1'!C42</f>
        <v>0.61</v>
      </c>
      <c r="AD21" s="654"/>
      <c r="AE21" s="654"/>
      <c r="AF21" s="654"/>
      <c r="AG21" s="654"/>
      <c r="AH21" s="654"/>
      <c r="AI21" s="653">
        <f>'[2]приложение 4.1'!D42</f>
        <v>0.63</v>
      </c>
      <c r="AJ21" s="654"/>
      <c r="AK21" s="654"/>
      <c r="AL21" s="654"/>
      <c r="AM21" s="654"/>
      <c r="AN21" s="654"/>
      <c r="AO21" s="653">
        <f>'[2]приложение 4.1'!E42</f>
        <v>0.66</v>
      </c>
      <c r="AP21" s="654"/>
      <c r="AQ21" s="654"/>
      <c r="AR21" s="654"/>
      <c r="AS21" s="654"/>
      <c r="AT21" s="654"/>
      <c r="AU21" s="643">
        <f t="shared" si="0"/>
        <v>1.9</v>
      </c>
      <c r="AV21" s="644"/>
      <c r="AW21" s="644"/>
      <c r="AX21" s="644"/>
      <c r="AY21" s="644"/>
      <c r="AZ21" s="645"/>
    </row>
    <row r="22" spans="1:52" ht="15.75">
      <c r="A22" s="646" t="s">
        <v>531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8"/>
      <c r="AC22" s="653">
        <f>'[2]приложение 4.1'!C41</f>
        <v>0</v>
      </c>
      <c r="AD22" s="654"/>
      <c r="AE22" s="654"/>
      <c r="AF22" s="654"/>
      <c r="AG22" s="654"/>
      <c r="AH22" s="654"/>
      <c r="AI22" s="653">
        <f>'[2]приложение 4.1'!D41</f>
        <v>0</v>
      </c>
      <c r="AJ22" s="654"/>
      <c r="AK22" s="654"/>
      <c r="AL22" s="654"/>
      <c r="AM22" s="654"/>
      <c r="AN22" s="654"/>
      <c r="AO22" s="653">
        <f>'[2]приложение 4.1'!E41</f>
        <v>0</v>
      </c>
      <c r="AP22" s="654"/>
      <c r="AQ22" s="654"/>
      <c r="AR22" s="654"/>
      <c r="AS22" s="654"/>
      <c r="AT22" s="654"/>
      <c r="AU22" s="643">
        <f t="shared" si="0"/>
        <v>0</v>
      </c>
      <c r="AV22" s="644"/>
      <c r="AW22" s="644"/>
      <c r="AX22" s="644"/>
      <c r="AY22" s="644"/>
      <c r="AZ22" s="645"/>
    </row>
    <row r="23" spans="1:52" ht="15.75">
      <c r="A23" s="646" t="s">
        <v>418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8"/>
      <c r="AC23" s="653">
        <f>'[2]приложение 4.1'!C46</f>
        <v>16.48</v>
      </c>
      <c r="AD23" s="654"/>
      <c r="AE23" s="654"/>
      <c r="AF23" s="654"/>
      <c r="AG23" s="654"/>
      <c r="AH23" s="654"/>
      <c r="AI23" s="653">
        <f>'[2]приложение 4.1'!D46</f>
        <v>9.66</v>
      </c>
      <c r="AJ23" s="654"/>
      <c r="AK23" s="654"/>
      <c r="AL23" s="654"/>
      <c r="AM23" s="654"/>
      <c r="AN23" s="654"/>
      <c r="AO23" s="653">
        <f>'[2]приложение 4.1'!E46</f>
        <v>18.04</v>
      </c>
      <c r="AP23" s="654"/>
      <c r="AQ23" s="654"/>
      <c r="AR23" s="654"/>
      <c r="AS23" s="654"/>
      <c r="AT23" s="654"/>
      <c r="AU23" s="643">
        <f t="shared" si="0"/>
        <v>44.18</v>
      </c>
      <c r="AV23" s="644"/>
      <c r="AW23" s="644"/>
      <c r="AX23" s="644"/>
      <c r="AY23" s="644"/>
      <c r="AZ23" s="645"/>
    </row>
    <row r="24" spans="1:52" ht="15.75">
      <c r="A24" s="646" t="s">
        <v>532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8"/>
      <c r="AC24" s="653">
        <f>AC16-AC17-AC21-AC22-AC23</f>
        <v>3.197442310920451E-14</v>
      </c>
      <c r="AD24" s="654"/>
      <c r="AE24" s="654"/>
      <c r="AF24" s="654"/>
      <c r="AG24" s="654"/>
      <c r="AH24" s="654"/>
      <c r="AI24" s="653">
        <f>AI16-AI17-AI21-AI22-AI23</f>
        <v>1.9539925233402755E-14</v>
      </c>
      <c r="AJ24" s="654"/>
      <c r="AK24" s="654"/>
      <c r="AL24" s="654"/>
      <c r="AM24" s="654"/>
      <c r="AN24" s="654"/>
      <c r="AO24" s="653">
        <f>AO16-AO17-AO21-AO22-AO23</f>
        <v>4.618527782440651E-14</v>
      </c>
      <c r="AP24" s="654"/>
      <c r="AQ24" s="654"/>
      <c r="AR24" s="654"/>
      <c r="AS24" s="654"/>
      <c r="AT24" s="654"/>
      <c r="AU24" s="643">
        <f t="shared" si="0"/>
        <v>9.769962616701378E-14</v>
      </c>
      <c r="AV24" s="644"/>
      <c r="AW24" s="644"/>
      <c r="AX24" s="644"/>
      <c r="AY24" s="644"/>
      <c r="AZ24" s="645"/>
    </row>
    <row r="25" spans="1:52" ht="15.75">
      <c r="A25" s="646" t="s">
        <v>533</v>
      </c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8"/>
      <c r="AC25" s="649">
        <v>0</v>
      </c>
      <c r="AD25" s="649"/>
      <c r="AE25" s="649"/>
      <c r="AF25" s="649"/>
      <c r="AG25" s="649"/>
      <c r="AH25" s="649"/>
      <c r="AI25" s="649">
        <v>0</v>
      </c>
      <c r="AJ25" s="649"/>
      <c r="AK25" s="649"/>
      <c r="AL25" s="649"/>
      <c r="AM25" s="649"/>
      <c r="AN25" s="649"/>
      <c r="AO25" s="649">
        <v>0</v>
      </c>
      <c r="AP25" s="649"/>
      <c r="AQ25" s="649"/>
      <c r="AR25" s="649"/>
      <c r="AS25" s="649"/>
      <c r="AT25" s="649"/>
      <c r="AU25" s="643">
        <f t="shared" si="0"/>
        <v>0</v>
      </c>
      <c r="AV25" s="644"/>
      <c r="AW25" s="644"/>
      <c r="AX25" s="644"/>
      <c r="AY25" s="644"/>
      <c r="AZ25" s="645"/>
    </row>
    <row r="26" spans="1:52" ht="15.75">
      <c r="A26" s="646"/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8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8"/>
    </row>
    <row r="27" spans="1:52" ht="15.75">
      <c r="A27" s="646" t="s">
        <v>534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8"/>
      <c r="AC27" s="655">
        <f>AC33-AC34</f>
        <v>0</v>
      </c>
      <c r="AD27" s="656"/>
      <c r="AE27" s="656"/>
      <c r="AF27" s="656"/>
      <c r="AG27" s="656"/>
      <c r="AH27" s="657"/>
      <c r="AI27" s="655">
        <f>AI33-AI34</f>
        <v>0</v>
      </c>
      <c r="AJ27" s="656"/>
      <c r="AK27" s="656"/>
      <c r="AL27" s="656"/>
      <c r="AM27" s="656"/>
      <c r="AN27" s="657"/>
      <c r="AO27" s="655">
        <f>AO33-AO34</f>
        <v>0</v>
      </c>
      <c r="AP27" s="656"/>
      <c r="AQ27" s="656"/>
      <c r="AR27" s="656"/>
      <c r="AS27" s="656"/>
      <c r="AT27" s="657"/>
      <c r="AU27" s="643">
        <f>AC27+AI27+AO27</f>
        <v>0</v>
      </c>
      <c r="AV27" s="644"/>
      <c r="AW27" s="644"/>
      <c r="AX27" s="644"/>
      <c r="AY27" s="644"/>
      <c r="AZ27" s="645"/>
    </row>
    <row r="28" spans="1:52" ht="15.75">
      <c r="A28" s="646" t="s">
        <v>535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8"/>
      <c r="AC28" s="655">
        <f>AC16</f>
        <v>405.99</v>
      </c>
      <c r="AD28" s="656"/>
      <c r="AE28" s="656"/>
      <c r="AF28" s="656"/>
      <c r="AG28" s="656"/>
      <c r="AH28" s="657"/>
      <c r="AI28" s="655">
        <f>AI16</f>
        <v>376.81</v>
      </c>
      <c r="AJ28" s="656"/>
      <c r="AK28" s="656"/>
      <c r="AL28" s="656"/>
      <c r="AM28" s="656"/>
      <c r="AN28" s="657"/>
      <c r="AO28" s="655">
        <f>AO16</f>
        <v>399.69</v>
      </c>
      <c r="AP28" s="656"/>
      <c r="AQ28" s="656"/>
      <c r="AR28" s="656"/>
      <c r="AS28" s="656"/>
      <c r="AT28" s="657"/>
      <c r="AU28" s="643">
        <f>AC28+AI28+AO28</f>
        <v>1182.49</v>
      </c>
      <c r="AV28" s="644"/>
      <c r="AW28" s="644"/>
      <c r="AX28" s="644"/>
      <c r="AY28" s="644"/>
      <c r="AZ28" s="645"/>
    </row>
    <row r="29" spans="1:52" ht="15.75">
      <c r="A29" s="646" t="s">
        <v>536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8"/>
      <c r="AC29" s="655">
        <f>AC30</f>
        <v>405.99</v>
      </c>
      <c r="AD29" s="656"/>
      <c r="AE29" s="656"/>
      <c r="AF29" s="656"/>
      <c r="AG29" s="656"/>
      <c r="AH29" s="657"/>
      <c r="AI29" s="655">
        <f>AI30</f>
        <v>376.81</v>
      </c>
      <c r="AJ29" s="656"/>
      <c r="AK29" s="656"/>
      <c r="AL29" s="656"/>
      <c r="AM29" s="656"/>
      <c r="AN29" s="657"/>
      <c r="AO29" s="655">
        <f>AO30</f>
        <v>399.69</v>
      </c>
      <c r="AP29" s="656"/>
      <c r="AQ29" s="656"/>
      <c r="AR29" s="656"/>
      <c r="AS29" s="656"/>
      <c r="AT29" s="657"/>
      <c r="AU29" s="643">
        <f>AC29+AI29+AO29</f>
        <v>1182.49</v>
      </c>
      <c r="AV29" s="644"/>
      <c r="AW29" s="644"/>
      <c r="AX29" s="644"/>
      <c r="AY29" s="644"/>
      <c r="AZ29" s="645"/>
    </row>
    <row r="30" spans="1:52" ht="15.75">
      <c r="A30" s="646" t="s">
        <v>537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8"/>
      <c r="AC30" s="653">
        <f>AC17+AC20</f>
        <v>405.99</v>
      </c>
      <c r="AD30" s="654"/>
      <c r="AE30" s="654"/>
      <c r="AF30" s="654"/>
      <c r="AG30" s="654"/>
      <c r="AH30" s="654"/>
      <c r="AI30" s="653">
        <f>AI17+AI20</f>
        <v>376.81</v>
      </c>
      <c r="AJ30" s="654"/>
      <c r="AK30" s="654"/>
      <c r="AL30" s="654"/>
      <c r="AM30" s="654"/>
      <c r="AN30" s="654"/>
      <c r="AO30" s="653">
        <f>AO17+AO20</f>
        <v>399.69</v>
      </c>
      <c r="AP30" s="654"/>
      <c r="AQ30" s="654"/>
      <c r="AR30" s="654"/>
      <c r="AS30" s="654"/>
      <c r="AT30" s="654"/>
      <c r="AU30" s="643">
        <f>AC30+AI30+AO30</f>
        <v>1182.49</v>
      </c>
      <c r="AV30" s="644"/>
      <c r="AW30" s="644"/>
      <c r="AX30" s="644"/>
      <c r="AY30" s="644"/>
      <c r="AZ30" s="645"/>
    </row>
    <row r="31" spans="1:52" ht="15.75">
      <c r="A31" s="646" t="s">
        <v>538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8"/>
      <c r="AC31" s="653">
        <f>AC27+AC28-AC29</f>
        <v>0</v>
      </c>
      <c r="AD31" s="654"/>
      <c r="AE31" s="654"/>
      <c r="AF31" s="654"/>
      <c r="AG31" s="654"/>
      <c r="AH31" s="654"/>
      <c r="AI31" s="653">
        <f>AI27+AI33-AI34</f>
        <v>0</v>
      </c>
      <c r="AJ31" s="654"/>
      <c r="AK31" s="654"/>
      <c r="AL31" s="654"/>
      <c r="AM31" s="654"/>
      <c r="AN31" s="654"/>
      <c r="AO31" s="653">
        <f>AO27+AO33-AO34</f>
        <v>0</v>
      </c>
      <c r="AP31" s="654"/>
      <c r="AQ31" s="654"/>
      <c r="AR31" s="654"/>
      <c r="AS31" s="654"/>
      <c r="AT31" s="654"/>
      <c r="AU31" s="643">
        <f>AC31+AI31+AO31</f>
        <v>0</v>
      </c>
      <c r="AV31" s="644"/>
      <c r="AW31" s="644"/>
      <c r="AX31" s="644"/>
      <c r="AY31" s="644"/>
      <c r="AZ31" s="645"/>
    </row>
    <row r="32" spans="1:52" ht="15.75">
      <c r="A32" s="646" t="s">
        <v>539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8"/>
      <c r="AC32" s="649">
        <v>0</v>
      </c>
      <c r="AD32" s="649"/>
      <c r="AE32" s="649"/>
      <c r="AF32" s="649"/>
      <c r="AG32" s="649"/>
      <c r="AH32" s="649"/>
      <c r="AI32" s="649">
        <v>0</v>
      </c>
      <c r="AJ32" s="649"/>
      <c r="AK32" s="649"/>
      <c r="AL32" s="649"/>
      <c r="AM32" s="649"/>
      <c r="AN32" s="649"/>
      <c r="AO32" s="649">
        <v>0</v>
      </c>
      <c r="AP32" s="649"/>
      <c r="AQ32" s="649"/>
      <c r="AR32" s="649"/>
      <c r="AS32" s="649"/>
      <c r="AT32" s="649"/>
      <c r="AU32" s="643">
        <f aca="true" t="shared" si="1" ref="AU32:AU53">AC32+AI32+AO32</f>
        <v>0</v>
      </c>
      <c r="AV32" s="644"/>
      <c r="AW32" s="644"/>
      <c r="AX32" s="644"/>
      <c r="AY32" s="644"/>
      <c r="AZ32" s="645"/>
    </row>
    <row r="33" spans="1:52" ht="15.75">
      <c r="A33" s="646" t="s">
        <v>535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8"/>
      <c r="AC33" s="653">
        <f>'[2]приложение 4.2'!C18+'[2]приложение 4.2'!C18*0.2</f>
        <v>45.611999999999995</v>
      </c>
      <c r="AD33" s="654"/>
      <c r="AE33" s="654"/>
      <c r="AF33" s="654"/>
      <c r="AG33" s="654"/>
      <c r="AH33" s="654"/>
      <c r="AI33" s="653">
        <f>'[2]приложение 4.2'!D18+'[2]приложение 4.2'!D18*0.2</f>
        <v>50.879999999999995</v>
      </c>
      <c r="AJ33" s="654"/>
      <c r="AK33" s="654"/>
      <c r="AL33" s="654"/>
      <c r="AM33" s="654"/>
      <c r="AN33" s="654"/>
      <c r="AO33" s="653">
        <f>'[2]приложение 4.2'!E18+'[2]приложение 4.2'!E18*0.2</f>
        <v>61.104</v>
      </c>
      <c r="AP33" s="654"/>
      <c r="AQ33" s="654"/>
      <c r="AR33" s="654"/>
      <c r="AS33" s="654"/>
      <c r="AT33" s="654"/>
      <c r="AU33" s="643">
        <f>AC33+AI33+AO33</f>
        <v>157.596</v>
      </c>
      <c r="AV33" s="644"/>
      <c r="AW33" s="644"/>
      <c r="AX33" s="644"/>
      <c r="AY33" s="644"/>
      <c r="AZ33" s="645"/>
    </row>
    <row r="34" spans="1:52" ht="15.75">
      <c r="A34" s="646" t="s">
        <v>536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8"/>
      <c r="AC34" s="653">
        <f>AC33</f>
        <v>45.611999999999995</v>
      </c>
      <c r="AD34" s="654"/>
      <c r="AE34" s="654"/>
      <c r="AF34" s="654"/>
      <c r="AG34" s="654"/>
      <c r="AH34" s="654"/>
      <c r="AI34" s="653">
        <f>AI33</f>
        <v>50.879999999999995</v>
      </c>
      <c r="AJ34" s="654"/>
      <c r="AK34" s="654"/>
      <c r="AL34" s="654"/>
      <c r="AM34" s="654"/>
      <c r="AN34" s="654"/>
      <c r="AO34" s="653">
        <f>AO33</f>
        <v>61.104</v>
      </c>
      <c r="AP34" s="654"/>
      <c r="AQ34" s="654"/>
      <c r="AR34" s="654"/>
      <c r="AS34" s="654"/>
      <c r="AT34" s="654"/>
      <c r="AU34" s="643">
        <f>AC34+AI34+AO34</f>
        <v>157.596</v>
      </c>
      <c r="AV34" s="644"/>
      <c r="AW34" s="644"/>
      <c r="AX34" s="644"/>
      <c r="AY34" s="644"/>
      <c r="AZ34" s="645"/>
    </row>
    <row r="35" spans="1:52" ht="15.75">
      <c r="A35" s="646" t="s">
        <v>540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8"/>
      <c r="AC35" s="649">
        <v>0</v>
      </c>
      <c r="AD35" s="649"/>
      <c r="AE35" s="649"/>
      <c r="AF35" s="649"/>
      <c r="AG35" s="649"/>
      <c r="AH35" s="649"/>
      <c r="AI35" s="649">
        <v>0</v>
      </c>
      <c r="AJ35" s="649"/>
      <c r="AK35" s="649"/>
      <c r="AL35" s="649"/>
      <c r="AM35" s="649"/>
      <c r="AN35" s="649"/>
      <c r="AO35" s="649">
        <v>0</v>
      </c>
      <c r="AP35" s="649"/>
      <c r="AQ35" s="649"/>
      <c r="AR35" s="649"/>
      <c r="AS35" s="649"/>
      <c r="AT35" s="649"/>
      <c r="AU35" s="643">
        <f t="shared" si="1"/>
        <v>0</v>
      </c>
      <c r="AV35" s="644"/>
      <c r="AW35" s="644"/>
      <c r="AX35" s="644"/>
      <c r="AY35" s="644"/>
      <c r="AZ35" s="645"/>
    </row>
    <row r="36" spans="1:52" ht="15.75">
      <c r="A36" s="646" t="s">
        <v>541</v>
      </c>
      <c r="B36" s="647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8"/>
      <c r="AC36" s="649">
        <v>0</v>
      </c>
      <c r="AD36" s="649"/>
      <c r="AE36" s="649"/>
      <c r="AF36" s="649"/>
      <c r="AG36" s="649"/>
      <c r="AH36" s="649"/>
      <c r="AI36" s="649">
        <v>0</v>
      </c>
      <c r="AJ36" s="649"/>
      <c r="AK36" s="649"/>
      <c r="AL36" s="649"/>
      <c r="AM36" s="649"/>
      <c r="AN36" s="649"/>
      <c r="AO36" s="649">
        <v>0</v>
      </c>
      <c r="AP36" s="649"/>
      <c r="AQ36" s="649"/>
      <c r="AR36" s="649"/>
      <c r="AS36" s="649"/>
      <c r="AT36" s="649"/>
      <c r="AU36" s="643">
        <f t="shared" si="1"/>
        <v>0</v>
      </c>
      <c r="AV36" s="644"/>
      <c r="AW36" s="644"/>
      <c r="AX36" s="644"/>
      <c r="AY36" s="644"/>
      <c r="AZ36" s="645"/>
    </row>
    <row r="37" spans="1:52" ht="15.75">
      <c r="A37" s="646" t="s">
        <v>535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8"/>
      <c r="AC37" s="649">
        <v>0</v>
      </c>
      <c r="AD37" s="649"/>
      <c r="AE37" s="649"/>
      <c r="AF37" s="649"/>
      <c r="AG37" s="649"/>
      <c r="AH37" s="649"/>
      <c r="AI37" s="649">
        <v>0</v>
      </c>
      <c r="AJ37" s="649"/>
      <c r="AK37" s="649"/>
      <c r="AL37" s="649"/>
      <c r="AM37" s="649"/>
      <c r="AN37" s="649"/>
      <c r="AO37" s="649">
        <v>0</v>
      </c>
      <c r="AP37" s="649"/>
      <c r="AQ37" s="649"/>
      <c r="AR37" s="649"/>
      <c r="AS37" s="649"/>
      <c r="AT37" s="649"/>
      <c r="AU37" s="643">
        <f t="shared" si="1"/>
        <v>0</v>
      </c>
      <c r="AV37" s="644"/>
      <c r="AW37" s="644"/>
      <c r="AX37" s="644"/>
      <c r="AY37" s="644"/>
      <c r="AZ37" s="645"/>
    </row>
    <row r="38" spans="1:52" ht="15.75">
      <c r="A38" s="650" t="s">
        <v>542</v>
      </c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2"/>
      <c r="AC38" s="649">
        <v>0</v>
      </c>
      <c r="AD38" s="649"/>
      <c r="AE38" s="649"/>
      <c r="AF38" s="649"/>
      <c r="AG38" s="649"/>
      <c r="AH38" s="649"/>
      <c r="AI38" s="649">
        <v>0</v>
      </c>
      <c r="AJ38" s="649"/>
      <c r="AK38" s="649"/>
      <c r="AL38" s="649"/>
      <c r="AM38" s="649"/>
      <c r="AN38" s="649"/>
      <c r="AO38" s="649">
        <v>0</v>
      </c>
      <c r="AP38" s="649"/>
      <c r="AQ38" s="649"/>
      <c r="AR38" s="649"/>
      <c r="AS38" s="649"/>
      <c r="AT38" s="649"/>
      <c r="AU38" s="643">
        <f t="shared" si="1"/>
        <v>0</v>
      </c>
      <c r="AV38" s="644"/>
      <c r="AW38" s="644"/>
      <c r="AX38" s="644"/>
      <c r="AY38" s="644"/>
      <c r="AZ38" s="645"/>
    </row>
    <row r="39" spans="1:52" ht="15.75">
      <c r="A39" s="650" t="s">
        <v>543</v>
      </c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2"/>
      <c r="AC39" s="649">
        <v>0</v>
      </c>
      <c r="AD39" s="649"/>
      <c r="AE39" s="649"/>
      <c r="AF39" s="649"/>
      <c r="AG39" s="649"/>
      <c r="AH39" s="649"/>
      <c r="AI39" s="649">
        <v>0</v>
      </c>
      <c r="AJ39" s="649"/>
      <c r="AK39" s="649"/>
      <c r="AL39" s="649"/>
      <c r="AM39" s="649"/>
      <c r="AN39" s="649"/>
      <c r="AO39" s="649">
        <v>0</v>
      </c>
      <c r="AP39" s="649"/>
      <c r="AQ39" s="649"/>
      <c r="AR39" s="649"/>
      <c r="AS39" s="649"/>
      <c r="AT39" s="649"/>
      <c r="AU39" s="643">
        <f t="shared" si="1"/>
        <v>0</v>
      </c>
      <c r="AV39" s="644"/>
      <c r="AW39" s="644"/>
      <c r="AX39" s="644"/>
      <c r="AY39" s="644"/>
      <c r="AZ39" s="645"/>
    </row>
    <row r="40" spans="1:52" ht="15.75">
      <c r="A40" s="646" t="s">
        <v>536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8"/>
      <c r="AC40" s="649">
        <v>0</v>
      </c>
      <c r="AD40" s="649"/>
      <c r="AE40" s="649"/>
      <c r="AF40" s="649"/>
      <c r="AG40" s="649"/>
      <c r="AH40" s="649"/>
      <c r="AI40" s="649">
        <v>0</v>
      </c>
      <c r="AJ40" s="649"/>
      <c r="AK40" s="649"/>
      <c r="AL40" s="649"/>
      <c r="AM40" s="649"/>
      <c r="AN40" s="649"/>
      <c r="AO40" s="649">
        <v>0</v>
      </c>
      <c r="AP40" s="649"/>
      <c r="AQ40" s="649"/>
      <c r="AR40" s="649"/>
      <c r="AS40" s="649"/>
      <c r="AT40" s="649"/>
      <c r="AU40" s="643">
        <f t="shared" si="1"/>
        <v>0</v>
      </c>
      <c r="AV40" s="644"/>
      <c r="AW40" s="644"/>
      <c r="AX40" s="644"/>
      <c r="AY40" s="644"/>
      <c r="AZ40" s="645"/>
    </row>
    <row r="41" spans="1:52" ht="15.75">
      <c r="A41" s="650" t="s">
        <v>544</v>
      </c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2"/>
      <c r="AC41" s="649">
        <v>0</v>
      </c>
      <c r="AD41" s="649"/>
      <c r="AE41" s="649"/>
      <c r="AF41" s="649"/>
      <c r="AG41" s="649"/>
      <c r="AH41" s="649"/>
      <c r="AI41" s="649">
        <v>0</v>
      </c>
      <c r="AJ41" s="649"/>
      <c r="AK41" s="649"/>
      <c r="AL41" s="649"/>
      <c r="AM41" s="649"/>
      <c r="AN41" s="649"/>
      <c r="AO41" s="649">
        <v>0</v>
      </c>
      <c r="AP41" s="649"/>
      <c r="AQ41" s="649"/>
      <c r="AR41" s="649"/>
      <c r="AS41" s="649"/>
      <c r="AT41" s="649"/>
      <c r="AU41" s="643">
        <f t="shared" si="1"/>
        <v>0</v>
      </c>
      <c r="AV41" s="644"/>
      <c r="AW41" s="644"/>
      <c r="AX41" s="644"/>
      <c r="AY41" s="644"/>
      <c r="AZ41" s="645"/>
    </row>
    <row r="42" spans="1:52" ht="15.75">
      <c r="A42" s="646" t="s">
        <v>545</v>
      </c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8"/>
      <c r="AC42" s="649">
        <v>0</v>
      </c>
      <c r="AD42" s="649"/>
      <c r="AE42" s="649"/>
      <c r="AF42" s="649"/>
      <c r="AG42" s="649"/>
      <c r="AH42" s="649"/>
      <c r="AI42" s="649">
        <v>0</v>
      </c>
      <c r="AJ42" s="649"/>
      <c r="AK42" s="649"/>
      <c r="AL42" s="649"/>
      <c r="AM42" s="649"/>
      <c r="AN42" s="649"/>
      <c r="AO42" s="649">
        <v>0</v>
      </c>
      <c r="AP42" s="649"/>
      <c r="AQ42" s="649"/>
      <c r="AR42" s="649"/>
      <c r="AS42" s="649"/>
      <c r="AT42" s="649"/>
      <c r="AU42" s="643">
        <f t="shared" si="1"/>
        <v>0</v>
      </c>
      <c r="AV42" s="644"/>
      <c r="AW42" s="644"/>
      <c r="AX42" s="644"/>
      <c r="AY42" s="644"/>
      <c r="AZ42" s="645"/>
    </row>
    <row r="43" spans="1:52" ht="15.75">
      <c r="A43" s="646" t="s">
        <v>546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8"/>
      <c r="AC43" s="649">
        <v>0</v>
      </c>
      <c r="AD43" s="649"/>
      <c r="AE43" s="649"/>
      <c r="AF43" s="649"/>
      <c r="AG43" s="649"/>
      <c r="AH43" s="649"/>
      <c r="AI43" s="649">
        <v>0</v>
      </c>
      <c r="AJ43" s="649"/>
      <c r="AK43" s="649"/>
      <c r="AL43" s="649"/>
      <c r="AM43" s="649"/>
      <c r="AN43" s="649"/>
      <c r="AO43" s="649">
        <v>0</v>
      </c>
      <c r="AP43" s="649"/>
      <c r="AQ43" s="649"/>
      <c r="AR43" s="649"/>
      <c r="AS43" s="649"/>
      <c r="AT43" s="649"/>
      <c r="AU43" s="643">
        <f t="shared" si="1"/>
        <v>0</v>
      </c>
      <c r="AV43" s="644"/>
      <c r="AW43" s="644"/>
      <c r="AX43" s="644"/>
      <c r="AY43" s="644"/>
      <c r="AZ43" s="645"/>
    </row>
    <row r="44" spans="1:52" ht="15.75">
      <c r="A44" s="646" t="s">
        <v>547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8"/>
      <c r="AC44" s="649">
        <v>0</v>
      </c>
      <c r="AD44" s="649"/>
      <c r="AE44" s="649"/>
      <c r="AF44" s="649"/>
      <c r="AG44" s="649"/>
      <c r="AH44" s="649"/>
      <c r="AI44" s="649">
        <v>0</v>
      </c>
      <c r="AJ44" s="649"/>
      <c r="AK44" s="649"/>
      <c r="AL44" s="649"/>
      <c r="AM44" s="649"/>
      <c r="AN44" s="649"/>
      <c r="AO44" s="649">
        <v>0</v>
      </c>
      <c r="AP44" s="649"/>
      <c r="AQ44" s="649"/>
      <c r="AR44" s="649"/>
      <c r="AS44" s="649"/>
      <c r="AT44" s="649"/>
      <c r="AU44" s="643">
        <f t="shared" si="1"/>
        <v>0</v>
      </c>
      <c r="AV44" s="644"/>
      <c r="AW44" s="644"/>
      <c r="AX44" s="644"/>
      <c r="AY44" s="644"/>
      <c r="AZ44" s="645"/>
    </row>
    <row r="45" spans="1:52" ht="15.75">
      <c r="A45" s="650" t="s">
        <v>548</v>
      </c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2"/>
      <c r="AC45" s="649">
        <v>0</v>
      </c>
      <c r="AD45" s="649"/>
      <c r="AE45" s="649"/>
      <c r="AF45" s="649"/>
      <c r="AG45" s="649"/>
      <c r="AH45" s="649"/>
      <c r="AI45" s="649">
        <v>0</v>
      </c>
      <c r="AJ45" s="649"/>
      <c r="AK45" s="649"/>
      <c r="AL45" s="649"/>
      <c r="AM45" s="649"/>
      <c r="AN45" s="649"/>
      <c r="AO45" s="649">
        <v>0</v>
      </c>
      <c r="AP45" s="649"/>
      <c r="AQ45" s="649"/>
      <c r="AR45" s="649"/>
      <c r="AS45" s="649"/>
      <c r="AT45" s="649"/>
      <c r="AU45" s="643">
        <f t="shared" si="1"/>
        <v>0</v>
      </c>
      <c r="AV45" s="644"/>
      <c r="AW45" s="644"/>
      <c r="AX45" s="644"/>
      <c r="AY45" s="644"/>
      <c r="AZ45" s="645"/>
    </row>
    <row r="46" spans="1:52" ht="15.75">
      <c r="A46" s="650" t="s">
        <v>549</v>
      </c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2"/>
      <c r="AC46" s="649">
        <v>0</v>
      </c>
      <c r="AD46" s="649"/>
      <c r="AE46" s="649"/>
      <c r="AF46" s="649"/>
      <c r="AG46" s="649"/>
      <c r="AH46" s="649"/>
      <c r="AI46" s="649">
        <v>0</v>
      </c>
      <c r="AJ46" s="649"/>
      <c r="AK46" s="649"/>
      <c r="AL46" s="649"/>
      <c r="AM46" s="649"/>
      <c r="AN46" s="649"/>
      <c r="AO46" s="649">
        <v>0</v>
      </c>
      <c r="AP46" s="649"/>
      <c r="AQ46" s="649"/>
      <c r="AR46" s="649"/>
      <c r="AS46" s="649"/>
      <c r="AT46" s="649"/>
      <c r="AU46" s="643">
        <f t="shared" si="1"/>
        <v>0</v>
      </c>
      <c r="AV46" s="644"/>
      <c r="AW46" s="644"/>
      <c r="AX46" s="644"/>
      <c r="AY46" s="644"/>
      <c r="AZ46" s="645"/>
    </row>
    <row r="47" spans="1:52" ht="15.75">
      <c r="A47" s="650" t="s">
        <v>550</v>
      </c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2"/>
      <c r="AC47" s="649">
        <v>0</v>
      </c>
      <c r="AD47" s="649"/>
      <c r="AE47" s="649"/>
      <c r="AF47" s="649"/>
      <c r="AG47" s="649"/>
      <c r="AH47" s="649"/>
      <c r="AI47" s="649">
        <v>0</v>
      </c>
      <c r="AJ47" s="649"/>
      <c r="AK47" s="649"/>
      <c r="AL47" s="649"/>
      <c r="AM47" s="649"/>
      <c r="AN47" s="649"/>
      <c r="AO47" s="649">
        <v>0</v>
      </c>
      <c r="AP47" s="649"/>
      <c r="AQ47" s="649"/>
      <c r="AR47" s="649"/>
      <c r="AS47" s="649"/>
      <c r="AT47" s="649"/>
      <c r="AU47" s="643">
        <f t="shared" si="1"/>
        <v>0</v>
      </c>
      <c r="AV47" s="644"/>
      <c r="AW47" s="644"/>
      <c r="AX47" s="644"/>
      <c r="AY47" s="644"/>
      <c r="AZ47" s="645"/>
    </row>
    <row r="48" spans="1:52" ht="15.75">
      <c r="A48" s="650" t="s">
        <v>551</v>
      </c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2"/>
      <c r="AC48" s="649">
        <v>0</v>
      </c>
      <c r="AD48" s="649"/>
      <c r="AE48" s="649"/>
      <c r="AF48" s="649"/>
      <c r="AG48" s="649"/>
      <c r="AH48" s="649"/>
      <c r="AI48" s="649">
        <v>0</v>
      </c>
      <c r="AJ48" s="649"/>
      <c r="AK48" s="649"/>
      <c r="AL48" s="649"/>
      <c r="AM48" s="649"/>
      <c r="AN48" s="649"/>
      <c r="AO48" s="649">
        <v>0</v>
      </c>
      <c r="AP48" s="649"/>
      <c r="AQ48" s="649"/>
      <c r="AR48" s="649"/>
      <c r="AS48" s="649"/>
      <c r="AT48" s="649"/>
      <c r="AU48" s="643">
        <f t="shared" si="1"/>
        <v>0</v>
      </c>
      <c r="AV48" s="644"/>
      <c r="AW48" s="644"/>
      <c r="AX48" s="644"/>
      <c r="AY48" s="644"/>
      <c r="AZ48" s="645"/>
    </row>
    <row r="49" spans="1:52" ht="15.75">
      <c r="A49" s="646" t="s">
        <v>546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8"/>
      <c r="AC49" s="649">
        <v>0</v>
      </c>
      <c r="AD49" s="649"/>
      <c r="AE49" s="649"/>
      <c r="AF49" s="649"/>
      <c r="AG49" s="649"/>
      <c r="AH49" s="649"/>
      <c r="AI49" s="649">
        <v>0</v>
      </c>
      <c r="AJ49" s="649"/>
      <c r="AK49" s="649"/>
      <c r="AL49" s="649"/>
      <c r="AM49" s="649"/>
      <c r="AN49" s="649"/>
      <c r="AO49" s="649">
        <v>0</v>
      </c>
      <c r="AP49" s="649"/>
      <c r="AQ49" s="649"/>
      <c r="AR49" s="649"/>
      <c r="AS49" s="649"/>
      <c r="AT49" s="649"/>
      <c r="AU49" s="643">
        <f t="shared" si="1"/>
        <v>0</v>
      </c>
      <c r="AV49" s="644"/>
      <c r="AW49" s="644"/>
      <c r="AX49" s="644"/>
      <c r="AY49" s="644"/>
      <c r="AZ49" s="645"/>
    </row>
    <row r="50" spans="1:52" ht="15.75">
      <c r="A50" s="646" t="s">
        <v>552</v>
      </c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8"/>
      <c r="AC50" s="649">
        <v>0</v>
      </c>
      <c r="AD50" s="649"/>
      <c r="AE50" s="649"/>
      <c r="AF50" s="649"/>
      <c r="AG50" s="649"/>
      <c r="AH50" s="649"/>
      <c r="AI50" s="649">
        <v>0</v>
      </c>
      <c r="AJ50" s="649"/>
      <c r="AK50" s="649"/>
      <c r="AL50" s="649"/>
      <c r="AM50" s="649"/>
      <c r="AN50" s="649"/>
      <c r="AO50" s="649">
        <v>0</v>
      </c>
      <c r="AP50" s="649"/>
      <c r="AQ50" s="649"/>
      <c r="AR50" s="649"/>
      <c r="AS50" s="649"/>
      <c r="AT50" s="649"/>
      <c r="AU50" s="643">
        <f t="shared" si="1"/>
        <v>0</v>
      </c>
      <c r="AV50" s="644"/>
      <c r="AW50" s="644"/>
      <c r="AX50" s="644"/>
      <c r="AY50" s="644"/>
      <c r="AZ50" s="645"/>
    </row>
    <row r="51" spans="1:52" ht="15.75">
      <c r="A51" s="650" t="s">
        <v>553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2"/>
      <c r="AC51" s="649">
        <v>0</v>
      </c>
      <c r="AD51" s="649"/>
      <c r="AE51" s="649"/>
      <c r="AF51" s="649"/>
      <c r="AG51" s="649"/>
      <c r="AH51" s="649"/>
      <c r="AI51" s="649">
        <v>0</v>
      </c>
      <c r="AJ51" s="649"/>
      <c r="AK51" s="649"/>
      <c r="AL51" s="649"/>
      <c r="AM51" s="649"/>
      <c r="AN51" s="649"/>
      <c r="AO51" s="649">
        <v>0</v>
      </c>
      <c r="AP51" s="649"/>
      <c r="AQ51" s="649"/>
      <c r="AR51" s="649"/>
      <c r="AS51" s="649"/>
      <c r="AT51" s="649"/>
      <c r="AU51" s="643">
        <f t="shared" si="1"/>
        <v>0</v>
      </c>
      <c r="AV51" s="644"/>
      <c r="AW51" s="644"/>
      <c r="AX51" s="644"/>
      <c r="AY51" s="644"/>
      <c r="AZ51" s="645"/>
    </row>
    <row r="52" spans="1:52" ht="15.75">
      <c r="A52" s="646" t="s">
        <v>554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8"/>
      <c r="AC52" s="649">
        <v>0</v>
      </c>
      <c r="AD52" s="649"/>
      <c r="AE52" s="649"/>
      <c r="AF52" s="649"/>
      <c r="AG52" s="649"/>
      <c r="AH52" s="649"/>
      <c r="AI52" s="649">
        <v>0</v>
      </c>
      <c r="AJ52" s="649"/>
      <c r="AK52" s="649"/>
      <c r="AL52" s="649"/>
      <c r="AM52" s="649"/>
      <c r="AN52" s="649"/>
      <c r="AO52" s="649">
        <v>0</v>
      </c>
      <c r="AP52" s="649"/>
      <c r="AQ52" s="649"/>
      <c r="AR52" s="649"/>
      <c r="AS52" s="649"/>
      <c r="AT52" s="649"/>
      <c r="AU52" s="643">
        <f t="shared" si="1"/>
        <v>0</v>
      </c>
      <c r="AV52" s="644"/>
      <c r="AW52" s="644"/>
      <c r="AX52" s="644"/>
      <c r="AY52" s="644"/>
      <c r="AZ52" s="645"/>
    </row>
    <row r="53" spans="1:52" ht="16.5" thickBot="1">
      <c r="A53" s="639" t="s">
        <v>555</v>
      </c>
      <c r="B53" s="640"/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1"/>
      <c r="AC53" s="642">
        <v>0</v>
      </c>
      <c r="AD53" s="642"/>
      <c r="AE53" s="642"/>
      <c r="AF53" s="642"/>
      <c r="AG53" s="642"/>
      <c r="AH53" s="642"/>
      <c r="AI53" s="642">
        <v>0</v>
      </c>
      <c r="AJ53" s="642"/>
      <c r="AK53" s="642"/>
      <c r="AL53" s="642"/>
      <c r="AM53" s="642"/>
      <c r="AN53" s="642"/>
      <c r="AO53" s="642">
        <v>0</v>
      </c>
      <c r="AP53" s="642"/>
      <c r="AQ53" s="642"/>
      <c r="AR53" s="642"/>
      <c r="AS53" s="642"/>
      <c r="AT53" s="642"/>
      <c r="AU53" s="636">
        <f t="shared" si="1"/>
        <v>0</v>
      </c>
      <c r="AV53" s="637"/>
      <c r="AW53" s="637"/>
      <c r="AX53" s="637"/>
      <c r="AY53" s="637"/>
      <c r="AZ53" s="638"/>
    </row>
    <row r="54" spans="1:52" ht="15.75">
      <c r="A54" s="548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</row>
  </sheetData>
  <mergeCells count="195">
    <mergeCell ref="AU15:AZ15"/>
    <mergeCell ref="A16:AB16"/>
    <mergeCell ref="AC16:AH16"/>
    <mergeCell ref="AI16:AN16"/>
    <mergeCell ref="AO16:AT16"/>
    <mergeCell ref="AU16:AZ16"/>
    <mergeCell ref="A15:AB15"/>
    <mergeCell ref="AC15:AH15"/>
    <mergeCell ref="AI15:AN15"/>
    <mergeCell ref="AO15:AT15"/>
    <mergeCell ref="AU17:AZ17"/>
    <mergeCell ref="A18:AB18"/>
    <mergeCell ref="AC18:AH18"/>
    <mergeCell ref="AI18:AN18"/>
    <mergeCell ref="AO18:AT18"/>
    <mergeCell ref="AU18:AZ18"/>
    <mergeCell ref="A17:AB17"/>
    <mergeCell ref="AC17:AH17"/>
    <mergeCell ref="AI17:AN17"/>
    <mergeCell ref="AO17:AT17"/>
    <mergeCell ref="AU19:AZ19"/>
    <mergeCell ref="A20:AB20"/>
    <mergeCell ref="AC20:AH20"/>
    <mergeCell ref="AI20:AN20"/>
    <mergeCell ref="AO20:AT20"/>
    <mergeCell ref="AU20:AZ20"/>
    <mergeCell ref="A19:AB19"/>
    <mergeCell ref="AC19:AH19"/>
    <mergeCell ref="AI19:AN19"/>
    <mergeCell ref="AO19:AT19"/>
    <mergeCell ref="AU21:AZ21"/>
    <mergeCell ref="A22:AB22"/>
    <mergeCell ref="AC22:AH22"/>
    <mergeCell ref="AI22:AN22"/>
    <mergeCell ref="AO22:AT22"/>
    <mergeCell ref="AU22:AZ22"/>
    <mergeCell ref="A21:AB21"/>
    <mergeCell ref="AC21:AH21"/>
    <mergeCell ref="AI21:AN21"/>
    <mergeCell ref="AO21:AT21"/>
    <mergeCell ref="AU23:AZ23"/>
    <mergeCell ref="A24:AB24"/>
    <mergeCell ref="AC24:AH24"/>
    <mergeCell ref="AI24:AN24"/>
    <mergeCell ref="AO24:AT24"/>
    <mergeCell ref="AU24:AZ24"/>
    <mergeCell ref="A23:AB23"/>
    <mergeCell ref="AC23:AH23"/>
    <mergeCell ref="AI23:AN23"/>
    <mergeCell ref="AO23:AT23"/>
    <mergeCell ref="AU25:AZ25"/>
    <mergeCell ref="A26:AB26"/>
    <mergeCell ref="AC26:AH26"/>
    <mergeCell ref="AI26:AN26"/>
    <mergeCell ref="AO26:AT26"/>
    <mergeCell ref="AU26:AZ26"/>
    <mergeCell ref="A25:AB25"/>
    <mergeCell ref="AC25:AH25"/>
    <mergeCell ref="AI25:AN25"/>
    <mergeCell ref="AO25:AT25"/>
    <mergeCell ref="AU27:AZ27"/>
    <mergeCell ref="A28:AB28"/>
    <mergeCell ref="AC28:AH28"/>
    <mergeCell ref="AI28:AN28"/>
    <mergeCell ref="AO28:AT28"/>
    <mergeCell ref="AU28:AZ28"/>
    <mergeCell ref="A27:AB27"/>
    <mergeCell ref="AC27:AH27"/>
    <mergeCell ref="AI27:AN27"/>
    <mergeCell ref="AO27:AT27"/>
    <mergeCell ref="AU29:AZ29"/>
    <mergeCell ref="A30:AB30"/>
    <mergeCell ref="AC30:AH30"/>
    <mergeCell ref="AI30:AN30"/>
    <mergeCell ref="AO30:AT30"/>
    <mergeCell ref="AU30:AZ30"/>
    <mergeCell ref="A29:AB29"/>
    <mergeCell ref="AC29:AH29"/>
    <mergeCell ref="AI29:AN29"/>
    <mergeCell ref="AO29:AT29"/>
    <mergeCell ref="AU31:AZ31"/>
    <mergeCell ref="A32:AB32"/>
    <mergeCell ref="AC32:AH32"/>
    <mergeCell ref="AI32:AN32"/>
    <mergeCell ref="AO32:AT32"/>
    <mergeCell ref="AU32:AZ32"/>
    <mergeCell ref="A31:AB31"/>
    <mergeCell ref="AC31:AH31"/>
    <mergeCell ref="AI31:AN31"/>
    <mergeCell ref="AO31:AT31"/>
    <mergeCell ref="AU33:AZ33"/>
    <mergeCell ref="A34:AB34"/>
    <mergeCell ref="AC34:AH34"/>
    <mergeCell ref="AI34:AN34"/>
    <mergeCell ref="AO34:AT34"/>
    <mergeCell ref="AU34:AZ34"/>
    <mergeCell ref="A33:AB33"/>
    <mergeCell ref="AC33:AH33"/>
    <mergeCell ref="AI33:AN33"/>
    <mergeCell ref="AO33:AT33"/>
    <mergeCell ref="AU35:AZ35"/>
    <mergeCell ref="A36:AB36"/>
    <mergeCell ref="AC36:AH36"/>
    <mergeCell ref="AI36:AN36"/>
    <mergeCell ref="AO36:AT36"/>
    <mergeCell ref="AU36:AZ36"/>
    <mergeCell ref="A35:AB35"/>
    <mergeCell ref="AC35:AH35"/>
    <mergeCell ref="AI35:AN35"/>
    <mergeCell ref="AO35:AT35"/>
    <mergeCell ref="AU37:AZ37"/>
    <mergeCell ref="A38:AB38"/>
    <mergeCell ref="AC38:AH38"/>
    <mergeCell ref="AI38:AN38"/>
    <mergeCell ref="AO38:AT38"/>
    <mergeCell ref="AU38:AZ38"/>
    <mergeCell ref="A37:AB37"/>
    <mergeCell ref="AC37:AH37"/>
    <mergeCell ref="AI37:AN37"/>
    <mergeCell ref="AO37:AT37"/>
    <mergeCell ref="AU39:AZ39"/>
    <mergeCell ref="A40:AB40"/>
    <mergeCell ref="AC40:AH40"/>
    <mergeCell ref="AI40:AN40"/>
    <mergeCell ref="AO40:AT40"/>
    <mergeCell ref="AU40:AZ40"/>
    <mergeCell ref="A39:AB39"/>
    <mergeCell ref="AC39:AH39"/>
    <mergeCell ref="AI39:AN39"/>
    <mergeCell ref="AO39:AT39"/>
    <mergeCell ref="AU41:AZ41"/>
    <mergeCell ref="A42:AB42"/>
    <mergeCell ref="AC42:AH42"/>
    <mergeCell ref="AI42:AN42"/>
    <mergeCell ref="AO42:AT42"/>
    <mergeCell ref="AU42:AZ42"/>
    <mergeCell ref="A41:AB41"/>
    <mergeCell ref="AC41:AH41"/>
    <mergeCell ref="AI41:AN41"/>
    <mergeCell ref="AO41:AT41"/>
    <mergeCell ref="AU43:AZ43"/>
    <mergeCell ref="A44:AB44"/>
    <mergeCell ref="AC44:AH44"/>
    <mergeCell ref="AI44:AN44"/>
    <mergeCell ref="AO44:AT44"/>
    <mergeCell ref="AU44:AZ44"/>
    <mergeCell ref="A43:AB43"/>
    <mergeCell ref="AC43:AH43"/>
    <mergeCell ref="AI43:AN43"/>
    <mergeCell ref="AO43:AT43"/>
    <mergeCell ref="AU45:AZ45"/>
    <mergeCell ref="A46:AB46"/>
    <mergeCell ref="AC46:AH46"/>
    <mergeCell ref="AI46:AN46"/>
    <mergeCell ref="AO46:AT46"/>
    <mergeCell ref="AU46:AZ46"/>
    <mergeCell ref="A45:AB45"/>
    <mergeCell ref="AC45:AH45"/>
    <mergeCell ref="AI45:AN45"/>
    <mergeCell ref="AO45:AT45"/>
    <mergeCell ref="AU47:AZ47"/>
    <mergeCell ref="A48:AB48"/>
    <mergeCell ref="AC48:AH48"/>
    <mergeCell ref="AI48:AN48"/>
    <mergeCell ref="AO48:AT48"/>
    <mergeCell ref="AU48:AZ48"/>
    <mergeCell ref="A47:AB47"/>
    <mergeCell ref="AC47:AH47"/>
    <mergeCell ref="AI47:AN47"/>
    <mergeCell ref="AO47:AT47"/>
    <mergeCell ref="AU49:AZ49"/>
    <mergeCell ref="A50:AB50"/>
    <mergeCell ref="AC50:AH50"/>
    <mergeCell ref="AI50:AN50"/>
    <mergeCell ref="AO50:AT50"/>
    <mergeCell ref="AU50:AZ50"/>
    <mergeCell ref="A49:AB49"/>
    <mergeCell ref="AC49:AH49"/>
    <mergeCell ref="AI49:AN49"/>
    <mergeCell ref="AO49:AT49"/>
    <mergeCell ref="AU51:AZ51"/>
    <mergeCell ref="A52:AB52"/>
    <mergeCell ref="AC52:AH52"/>
    <mergeCell ref="AI52:AN52"/>
    <mergeCell ref="AO52:AT52"/>
    <mergeCell ref="AU52:AZ52"/>
    <mergeCell ref="A51:AB51"/>
    <mergeCell ref="AC51:AH51"/>
    <mergeCell ref="AI51:AN51"/>
    <mergeCell ref="AO51:AT51"/>
    <mergeCell ref="AU53:AZ53"/>
    <mergeCell ref="A53:AB53"/>
    <mergeCell ref="AC53:AH53"/>
    <mergeCell ref="AI53:AN53"/>
    <mergeCell ref="AO53:AT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I113"/>
  <sheetViews>
    <sheetView view="pageBreakPreview" zoomScale="70" zoomScaleNormal="66" zoomScaleSheetLayoutView="70" workbookViewId="0" topLeftCell="A1">
      <pane ySplit="18" topLeftCell="BM19" activePane="bottomLeft" state="frozen"/>
      <selection pane="topLeft" activeCell="A1" sqref="A1"/>
      <selection pane="bottomLeft" activeCell="A2" sqref="A2"/>
    </sheetView>
  </sheetViews>
  <sheetFormatPr defaultColWidth="9.00390625" defaultRowHeight="15.75"/>
  <cols>
    <col min="1" max="1" width="9.00390625" style="2" customWidth="1"/>
    <col min="2" max="2" width="36.75390625" style="2" customWidth="1"/>
    <col min="3" max="3" width="8.125" style="2" customWidth="1"/>
    <col min="4" max="4" width="9.00390625" style="2" customWidth="1"/>
    <col min="5" max="5" width="9.50390625" style="2" customWidth="1"/>
    <col min="6" max="6" width="8.875" style="2" customWidth="1"/>
    <col min="7" max="7" width="8.125" style="2" customWidth="1"/>
    <col min="8" max="8" width="9.00390625" style="2" customWidth="1"/>
    <col min="9" max="9" width="13.00390625" style="2" customWidth="1"/>
    <col min="10" max="10" width="11.25390625" style="2" customWidth="1"/>
    <col min="11" max="11" width="8.00390625" style="2" customWidth="1"/>
    <col min="12" max="12" width="8.50390625" style="2" customWidth="1"/>
    <col min="13" max="13" width="10.75390625" style="2" customWidth="1"/>
    <col min="14" max="14" width="12.375" style="108" customWidth="1"/>
    <col min="15" max="15" width="7.75390625" style="2" customWidth="1"/>
    <col min="16" max="16" width="8.375" style="2" customWidth="1"/>
    <col min="17" max="17" width="9.625" style="109" customWidth="1"/>
    <col min="18" max="18" width="7.25390625" style="109" customWidth="1"/>
    <col min="19" max="19" width="10.00390625" style="110" customWidth="1"/>
    <col min="20" max="20" width="9.625" style="110" customWidth="1"/>
    <col min="21" max="21" width="6.75390625" style="110" customWidth="1"/>
    <col min="22" max="27" width="8.75390625" style="2" customWidth="1"/>
    <col min="28" max="28" width="9.875" style="2" customWidth="1"/>
    <col min="29" max="29" width="10.00390625" style="2" customWidth="1"/>
    <col min="30" max="31" width="8.75390625" style="2" customWidth="1"/>
    <col min="32" max="32" width="9.875" style="2" customWidth="1"/>
    <col min="33" max="33" width="9.25390625" style="111" customWidth="1"/>
    <col min="34" max="34" width="8.75390625" style="2" customWidth="1"/>
    <col min="35" max="35" width="9.25390625" style="2" customWidth="1"/>
    <col min="36" max="16384" width="9.00390625" style="2" customWidth="1"/>
  </cols>
  <sheetData>
    <row r="2" ht="15.75">
      <c r="AI2" s="6" t="s">
        <v>766</v>
      </c>
    </row>
    <row r="3" ht="15.75">
      <c r="AI3" s="6" t="s">
        <v>558</v>
      </c>
    </row>
    <row r="4" spans="1:35" ht="15.75">
      <c r="A4" s="1"/>
      <c r="E4" s="3"/>
      <c r="F4" s="3"/>
      <c r="G4" s="3"/>
      <c r="H4" s="3"/>
      <c r="I4" s="3"/>
      <c r="J4" s="3"/>
      <c r="S4" s="109"/>
      <c r="T4" s="109"/>
      <c r="U4" s="109"/>
      <c r="AI4" s="6" t="s">
        <v>559</v>
      </c>
    </row>
    <row r="5" spans="1:35" ht="18.75">
      <c r="A5" s="597" t="s">
        <v>767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</row>
    <row r="6" spans="1:35" ht="18.75">
      <c r="A6" s="597" t="s">
        <v>768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</row>
    <row r="7" spans="1:22" ht="15.7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3"/>
      <c r="P7" s="113"/>
      <c r="Q7" s="113"/>
      <c r="R7" s="113"/>
      <c r="S7" s="113"/>
      <c r="T7" s="113"/>
      <c r="U7" s="113"/>
      <c r="V7" s="113"/>
    </row>
    <row r="8" spans="1:21" ht="15.75">
      <c r="A8" s="1"/>
      <c r="E8" s="3"/>
      <c r="F8" s="3"/>
      <c r="G8" s="3"/>
      <c r="H8" s="3"/>
      <c r="I8" s="3"/>
      <c r="J8" s="3"/>
      <c r="S8" s="109"/>
      <c r="T8" s="109"/>
      <c r="U8" s="109"/>
    </row>
    <row r="9" spans="1:35" ht="15.75">
      <c r="A9" s="1"/>
      <c r="E9" s="3"/>
      <c r="F9" s="3"/>
      <c r="G9" s="3"/>
      <c r="H9" s="3"/>
      <c r="I9" s="3"/>
      <c r="J9" s="3"/>
      <c r="S9" s="109"/>
      <c r="T9" s="109"/>
      <c r="U9" s="109"/>
      <c r="AI9" s="115" t="s">
        <v>562</v>
      </c>
    </row>
    <row r="10" spans="1:35" ht="15.75">
      <c r="A10" s="1"/>
      <c r="E10" s="3"/>
      <c r="F10" s="3"/>
      <c r="G10" s="3"/>
      <c r="H10" s="3"/>
      <c r="I10" s="3"/>
      <c r="J10" s="3"/>
      <c r="S10" s="109"/>
      <c r="T10" s="109"/>
      <c r="U10" s="109"/>
      <c r="AI10" s="115" t="s">
        <v>769</v>
      </c>
    </row>
    <row r="11" spans="1:35" ht="15.75">
      <c r="A11" s="1"/>
      <c r="E11" s="3"/>
      <c r="F11" s="3"/>
      <c r="G11" s="3"/>
      <c r="H11" s="3"/>
      <c r="I11" s="3"/>
      <c r="J11" s="3"/>
      <c r="Q11" s="571"/>
      <c r="S11" s="109"/>
      <c r="T11" s="109"/>
      <c r="U11" s="109"/>
      <c r="AG11" s="607" t="s">
        <v>770</v>
      </c>
      <c r="AH11" s="607"/>
      <c r="AI11" s="607"/>
    </row>
    <row r="12" spans="1:35" ht="18.75" customHeight="1">
      <c r="A12" s="1"/>
      <c r="E12" s="3"/>
      <c r="F12" s="3"/>
      <c r="G12" s="3"/>
      <c r="H12" s="3"/>
      <c r="I12" s="3"/>
      <c r="J12" s="3"/>
      <c r="S12" s="109"/>
      <c r="T12" s="109"/>
      <c r="U12" s="109"/>
      <c r="AF12" s="607" t="s">
        <v>771</v>
      </c>
      <c r="AG12" s="607"/>
      <c r="AH12" s="607"/>
      <c r="AI12" s="607"/>
    </row>
    <row r="13" spans="1:35" ht="15.75">
      <c r="A13" s="1"/>
      <c r="E13" s="3"/>
      <c r="F13" s="3"/>
      <c r="G13" s="3"/>
      <c r="H13" s="3"/>
      <c r="I13" s="3"/>
      <c r="J13" s="3"/>
      <c r="S13" s="109"/>
      <c r="T13" s="109"/>
      <c r="U13" s="109"/>
      <c r="AI13" s="115" t="s">
        <v>772</v>
      </c>
    </row>
    <row r="14" spans="1:35" ht="15.75">
      <c r="A14" s="1"/>
      <c r="C14" s="117"/>
      <c r="D14" s="117"/>
      <c r="E14" s="118"/>
      <c r="F14" s="118"/>
      <c r="G14" s="118"/>
      <c r="H14" s="118"/>
      <c r="I14" s="118"/>
      <c r="J14" s="118"/>
      <c r="K14" s="117"/>
      <c r="L14" s="117"/>
      <c r="M14" s="117"/>
      <c r="N14" s="119"/>
      <c r="O14" s="117"/>
      <c r="P14" s="117"/>
      <c r="S14" s="109"/>
      <c r="T14" s="109"/>
      <c r="U14" s="109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20"/>
      <c r="AH14" s="117"/>
      <c r="AI14" s="115" t="s">
        <v>567</v>
      </c>
    </row>
    <row r="15" spans="1:35" ht="15.75" customHeight="1">
      <c r="A15" s="604" t="s">
        <v>568</v>
      </c>
      <c r="B15" s="605" t="s">
        <v>569</v>
      </c>
      <c r="C15" s="606" t="s">
        <v>773</v>
      </c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5" t="s">
        <v>774</v>
      </c>
      <c r="R15" s="605"/>
      <c r="S15" s="605"/>
      <c r="T15" s="605"/>
      <c r="U15" s="605"/>
      <c r="V15" s="599" t="s">
        <v>775</v>
      </c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</row>
    <row r="16" spans="1:35" ht="21" customHeight="1">
      <c r="A16" s="604"/>
      <c r="B16" s="605"/>
      <c r="C16" s="600" t="s">
        <v>776</v>
      </c>
      <c r="D16" s="600"/>
      <c r="E16" s="600"/>
      <c r="F16" s="600"/>
      <c r="G16" s="601" t="s">
        <v>777</v>
      </c>
      <c r="H16" s="601"/>
      <c r="I16" s="601"/>
      <c r="J16" s="601"/>
      <c r="K16" s="601" t="s">
        <v>778</v>
      </c>
      <c r="L16" s="601"/>
      <c r="M16" s="601"/>
      <c r="N16" s="601"/>
      <c r="O16" s="601"/>
      <c r="P16" s="602" t="s">
        <v>779</v>
      </c>
      <c r="Q16" s="605"/>
      <c r="R16" s="605"/>
      <c r="S16" s="605"/>
      <c r="T16" s="605"/>
      <c r="U16" s="605"/>
      <c r="V16" s="600" t="s">
        <v>776</v>
      </c>
      <c r="W16" s="600"/>
      <c r="X16" s="600"/>
      <c r="Y16" s="600"/>
      <c r="Z16" s="601" t="s">
        <v>777</v>
      </c>
      <c r="AA16" s="601"/>
      <c r="AB16" s="601"/>
      <c r="AC16" s="601"/>
      <c r="AD16" s="601" t="s">
        <v>778</v>
      </c>
      <c r="AE16" s="601"/>
      <c r="AF16" s="601"/>
      <c r="AG16" s="601"/>
      <c r="AH16" s="601"/>
      <c r="AI16" s="603" t="s">
        <v>780</v>
      </c>
    </row>
    <row r="17" spans="1:35" ht="72.75" customHeight="1">
      <c r="A17" s="604"/>
      <c r="B17" s="93" t="s">
        <v>591</v>
      </c>
      <c r="C17" s="123" t="s">
        <v>781</v>
      </c>
      <c r="D17" s="125" t="s">
        <v>782</v>
      </c>
      <c r="E17" s="126" t="s">
        <v>783</v>
      </c>
      <c r="F17" s="126" t="s">
        <v>784</v>
      </c>
      <c r="G17" s="123" t="s">
        <v>781</v>
      </c>
      <c r="H17" s="125" t="s">
        <v>782</v>
      </c>
      <c r="I17" s="125" t="s">
        <v>785</v>
      </c>
      <c r="J17" s="127" t="s">
        <v>786</v>
      </c>
      <c r="K17" s="123" t="s">
        <v>787</v>
      </c>
      <c r="L17" s="125" t="s">
        <v>782</v>
      </c>
      <c r="M17" s="123" t="s">
        <v>788</v>
      </c>
      <c r="N17" s="123" t="s">
        <v>789</v>
      </c>
      <c r="O17" s="125" t="s">
        <v>790</v>
      </c>
      <c r="P17" s="602"/>
      <c r="Q17" s="126" t="s">
        <v>791</v>
      </c>
      <c r="R17" s="126" t="s">
        <v>792</v>
      </c>
      <c r="S17" s="126" t="s">
        <v>793</v>
      </c>
      <c r="T17" s="126" t="s">
        <v>794</v>
      </c>
      <c r="U17" s="126" t="s">
        <v>795</v>
      </c>
      <c r="V17" s="123" t="s">
        <v>781</v>
      </c>
      <c r="W17" s="125" t="s">
        <v>796</v>
      </c>
      <c r="X17" s="92" t="s">
        <v>783</v>
      </c>
      <c r="Y17" s="92" t="s">
        <v>797</v>
      </c>
      <c r="Z17" s="123" t="s">
        <v>781</v>
      </c>
      <c r="AA17" s="125" t="s">
        <v>782</v>
      </c>
      <c r="AB17" s="125" t="s">
        <v>785</v>
      </c>
      <c r="AC17" s="125" t="s">
        <v>786</v>
      </c>
      <c r="AD17" s="123" t="s">
        <v>787</v>
      </c>
      <c r="AE17" s="125" t="s">
        <v>782</v>
      </c>
      <c r="AF17" s="123" t="s">
        <v>788</v>
      </c>
      <c r="AG17" s="123" t="s">
        <v>789</v>
      </c>
      <c r="AH17" s="125" t="s">
        <v>790</v>
      </c>
      <c r="AI17" s="603"/>
    </row>
    <row r="18" spans="1:35" ht="31.5">
      <c r="A18" s="128">
        <v>1</v>
      </c>
      <c r="B18" s="121" t="s">
        <v>593</v>
      </c>
      <c r="C18" s="121"/>
      <c r="D18" s="121"/>
      <c r="E18" s="121"/>
      <c r="F18" s="121"/>
      <c r="G18" s="129"/>
      <c r="H18" s="129"/>
      <c r="I18" s="129"/>
      <c r="J18" s="121">
        <f>J19+J95</f>
        <v>33.04999999999999</v>
      </c>
      <c r="K18" s="129"/>
      <c r="L18" s="129"/>
      <c r="M18" s="129"/>
      <c r="N18" s="130"/>
      <c r="O18" s="131">
        <f>O19+O95</f>
        <v>10.110000000000001</v>
      </c>
      <c r="P18" s="132"/>
      <c r="Q18" s="131">
        <f>Q19+Q95+Q105</f>
        <v>375.1190000000001</v>
      </c>
      <c r="R18" s="131">
        <f>R19+R95+R105</f>
        <v>20.718000000000004</v>
      </c>
      <c r="S18" s="131">
        <f>S19+S95+S105</f>
        <v>98.03100000000003</v>
      </c>
      <c r="T18" s="131">
        <f>T19+T95+T105</f>
        <v>224.16000000000005</v>
      </c>
      <c r="U18" s="131">
        <f>U19+U95+U105</f>
        <v>32.21</v>
      </c>
      <c r="V18" s="132"/>
      <c r="W18" s="132"/>
      <c r="X18" s="132"/>
      <c r="Y18" s="132"/>
      <c r="Z18" s="132"/>
      <c r="AA18" s="132"/>
      <c r="AB18" s="132"/>
      <c r="AC18" s="131">
        <f>AC19+AC95</f>
        <v>40.82999999999999</v>
      </c>
      <c r="AD18" s="132"/>
      <c r="AE18" s="132"/>
      <c r="AF18" s="132"/>
      <c r="AG18" s="133"/>
      <c r="AH18" s="131">
        <f>AH19+AH95</f>
        <v>10.48</v>
      </c>
      <c r="AI18" s="134"/>
    </row>
    <row r="19" spans="1:35" s="144" customFormat="1" ht="32.25" thickBot="1">
      <c r="A19" s="135" t="s">
        <v>594</v>
      </c>
      <c r="B19" s="136" t="s">
        <v>595</v>
      </c>
      <c r="C19" s="137"/>
      <c r="D19" s="137"/>
      <c r="E19" s="137"/>
      <c r="F19" s="137"/>
      <c r="G19" s="138"/>
      <c r="H19" s="138"/>
      <c r="I19" s="138"/>
      <c r="J19" s="136">
        <f>SUM(J20:J89)</f>
        <v>33.04999999999999</v>
      </c>
      <c r="K19" s="138"/>
      <c r="L19" s="138"/>
      <c r="M19" s="138"/>
      <c r="N19" s="139"/>
      <c r="O19" s="140">
        <f>SUM(O20:O89)</f>
        <v>10.110000000000001</v>
      </c>
      <c r="P19" s="141"/>
      <c r="Q19" s="140">
        <f>R19+S19+T19+U19</f>
        <v>353.1890000000001</v>
      </c>
      <c r="R19" s="140">
        <f>SUM(R20:R89)</f>
        <v>20.518000000000004</v>
      </c>
      <c r="S19" s="140">
        <f>SUM(S20:S89)</f>
        <v>96.96100000000004</v>
      </c>
      <c r="T19" s="140">
        <f>SUM(T20:T89)</f>
        <v>203.51000000000005</v>
      </c>
      <c r="U19" s="140">
        <f>SUM(U20:U89)</f>
        <v>32.2</v>
      </c>
      <c r="V19" s="141"/>
      <c r="W19" s="141"/>
      <c r="X19" s="141"/>
      <c r="Y19" s="141"/>
      <c r="Z19" s="141"/>
      <c r="AA19" s="141"/>
      <c r="AB19" s="141"/>
      <c r="AC19" s="140">
        <f>SUM(AC20:AC89)</f>
        <v>40.82999999999999</v>
      </c>
      <c r="AD19" s="141"/>
      <c r="AE19" s="141"/>
      <c r="AF19" s="141"/>
      <c r="AG19" s="142"/>
      <c r="AH19" s="140">
        <f>SUM(AH20:AH89)</f>
        <v>10.110000000000001</v>
      </c>
      <c r="AI19" s="143"/>
    </row>
    <row r="20" spans="1:35" ht="76.5" customHeight="1">
      <c r="A20" s="562" t="s">
        <v>596</v>
      </c>
      <c r="B20" s="28" t="s">
        <v>597</v>
      </c>
      <c r="C20" s="88"/>
      <c r="D20" s="88"/>
      <c r="E20" s="88"/>
      <c r="F20" s="88"/>
      <c r="G20" s="146"/>
      <c r="H20" s="146"/>
      <c r="I20" s="146"/>
      <c r="J20" s="30"/>
      <c r="K20" s="20">
        <v>1991</v>
      </c>
      <c r="L20" s="20" t="s">
        <v>798</v>
      </c>
      <c r="M20" s="20" t="s">
        <v>799</v>
      </c>
      <c r="N20" s="20" t="s">
        <v>800</v>
      </c>
      <c r="O20" s="30">
        <v>1</v>
      </c>
      <c r="P20" s="146"/>
      <c r="Q20" s="32">
        <f>'приложение 1.1'!I21</f>
        <v>12.350000000000001</v>
      </c>
      <c r="R20" s="77">
        <v>1.39</v>
      </c>
      <c r="S20" s="77">
        <f aca="true" t="shared" si="0" ref="S20:S89">Q20-R20-T20-U20</f>
        <v>6.600000000000001</v>
      </c>
      <c r="T20" s="147">
        <f>ROUND((405453+79784)/1000000*8.94,2)</f>
        <v>4.34</v>
      </c>
      <c r="U20" s="147">
        <f>ROUND((15374+5698)/1000000,2)</f>
        <v>0.02</v>
      </c>
      <c r="V20" s="148"/>
      <c r="W20" s="148"/>
      <c r="X20" s="148"/>
      <c r="Y20" s="148"/>
      <c r="Z20" s="148"/>
      <c r="AA20" s="148"/>
      <c r="AB20" s="148"/>
      <c r="AC20" s="148"/>
      <c r="AD20" s="149">
        <v>2017</v>
      </c>
      <c r="AE20" s="149" t="s">
        <v>798</v>
      </c>
      <c r="AF20" s="20" t="s">
        <v>799</v>
      </c>
      <c r="AG20" s="564" t="s">
        <v>825</v>
      </c>
      <c r="AH20" s="149">
        <v>1</v>
      </c>
      <c r="AI20" s="150"/>
    </row>
    <row r="21" spans="1:35" ht="54" customHeight="1">
      <c r="A21" s="563" t="s">
        <v>599</v>
      </c>
      <c r="B21" s="28" t="s">
        <v>324</v>
      </c>
      <c r="C21" s="88"/>
      <c r="D21" s="88"/>
      <c r="E21" s="88"/>
      <c r="F21" s="88"/>
      <c r="G21" s="146"/>
      <c r="H21" s="146"/>
      <c r="I21" s="146"/>
      <c r="J21" s="30"/>
      <c r="K21" s="146">
        <v>1985</v>
      </c>
      <c r="L21" s="146" t="s">
        <v>798</v>
      </c>
      <c r="M21" s="564" t="s">
        <v>213</v>
      </c>
      <c r="N21" s="146" t="s">
        <v>800</v>
      </c>
      <c r="O21" s="30" t="s">
        <v>26</v>
      </c>
      <c r="P21" s="146"/>
      <c r="Q21" s="32">
        <f>'приложение 1.1'!I22</f>
        <v>2.4210000000000003</v>
      </c>
      <c r="R21" s="77">
        <v>0.21</v>
      </c>
      <c r="S21" s="77">
        <f t="shared" si="0"/>
        <v>0.6510000000000004</v>
      </c>
      <c r="T21" s="147">
        <v>1.44</v>
      </c>
      <c r="U21" s="77">
        <f>ROUND((991+123330)/1000000,2)</f>
        <v>0.12</v>
      </c>
      <c r="V21" s="148"/>
      <c r="W21" s="148"/>
      <c r="X21" s="148"/>
      <c r="Y21" s="148"/>
      <c r="Z21" s="148"/>
      <c r="AA21" s="148"/>
      <c r="AB21" s="148"/>
      <c r="AC21" s="148"/>
      <c r="AD21" s="149">
        <v>2018</v>
      </c>
      <c r="AE21" s="149" t="s">
        <v>798</v>
      </c>
      <c r="AF21" s="564" t="s">
        <v>214</v>
      </c>
      <c r="AG21" s="146" t="s">
        <v>800</v>
      </c>
      <c r="AH21" s="565" t="s">
        <v>26</v>
      </c>
      <c r="AI21" s="150"/>
    </row>
    <row r="22" spans="1:35" ht="50.25" customHeight="1">
      <c r="A22" s="563" t="s">
        <v>600</v>
      </c>
      <c r="B22" s="28" t="s">
        <v>325</v>
      </c>
      <c r="C22" s="88"/>
      <c r="D22" s="88"/>
      <c r="E22" s="88"/>
      <c r="F22" s="88"/>
      <c r="G22" s="146"/>
      <c r="H22" s="146"/>
      <c r="I22" s="146"/>
      <c r="J22" s="30"/>
      <c r="K22" s="146">
        <v>2003</v>
      </c>
      <c r="L22" s="146" t="s">
        <v>798</v>
      </c>
      <c r="M22" s="20" t="s">
        <v>803</v>
      </c>
      <c r="N22" s="146" t="s">
        <v>800</v>
      </c>
      <c r="O22" s="30" t="s">
        <v>26</v>
      </c>
      <c r="P22" s="146"/>
      <c r="Q22" s="32">
        <f>'приложение 1.1'!I23</f>
        <v>0.4</v>
      </c>
      <c r="R22" s="63"/>
      <c r="S22" s="77">
        <f t="shared" si="0"/>
        <v>0.25</v>
      </c>
      <c r="T22" s="147">
        <f>ROUND((16629)/1000000*8.94,2)</f>
        <v>0.15</v>
      </c>
      <c r="U22" s="77">
        <f>ROUND((0)/1000000,2)</f>
        <v>0</v>
      </c>
      <c r="V22" s="148"/>
      <c r="W22" s="148"/>
      <c r="X22" s="148"/>
      <c r="Y22" s="148"/>
      <c r="Z22" s="148"/>
      <c r="AA22" s="148"/>
      <c r="AB22" s="148"/>
      <c r="AC22" s="148"/>
      <c r="AD22" s="149">
        <v>2017</v>
      </c>
      <c r="AE22" s="149" t="s">
        <v>798</v>
      </c>
      <c r="AF22" s="20" t="s">
        <v>803</v>
      </c>
      <c r="AG22" s="146" t="s">
        <v>800</v>
      </c>
      <c r="AH22" s="565" t="s">
        <v>26</v>
      </c>
      <c r="AI22" s="150"/>
    </row>
    <row r="23" spans="1:35" ht="49.5" customHeight="1">
      <c r="A23" s="563" t="s">
        <v>602</v>
      </c>
      <c r="B23" s="28" t="s">
        <v>603</v>
      </c>
      <c r="C23" s="88"/>
      <c r="D23" s="88"/>
      <c r="E23" s="88"/>
      <c r="F23" s="88"/>
      <c r="G23" s="146"/>
      <c r="H23" s="146"/>
      <c r="I23" s="146"/>
      <c r="J23" s="30"/>
      <c r="K23" s="146">
        <v>1999</v>
      </c>
      <c r="L23" s="146" t="s">
        <v>798</v>
      </c>
      <c r="M23" s="146" t="s">
        <v>803</v>
      </c>
      <c r="N23" s="146" t="s">
        <v>804</v>
      </c>
      <c r="O23" s="30" t="s">
        <v>26</v>
      </c>
      <c r="P23" s="146"/>
      <c r="Q23" s="32">
        <f>'приложение 1.1'!I24</f>
        <v>1.1600000000000001</v>
      </c>
      <c r="R23" s="77">
        <v>0.08</v>
      </c>
      <c r="S23" s="77">
        <f t="shared" si="0"/>
        <v>0.19000000000000003</v>
      </c>
      <c r="T23" s="147">
        <f>ROUND((129458+2875)/1000000*5.03,2)</f>
        <v>0.67</v>
      </c>
      <c r="U23" s="77">
        <f>ROUND((221052)/1000000,2)</f>
        <v>0.22</v>
      </c>
      <c r="V23" s="148"/>
      <c r="W23" s="148"/>
      <c r="X23" s="148"/>
      <c r="Y23" s="148"/>
      <c r="Z23" s="148"/>
      <c r="AA23" s="148"/>
      <c r="AB23" s="148"/>
      <c r="AC23" s="148"/>
      <c r="AD23" s="149">
        <v>2017</v>
      </c>
      <c r="AE23" s="149" t="s">
        <v>798</v>
      </c>
      <c r="AF23" s="146" t="s">
        <v>803</v>
      </c>
      <c r="AG23" s="146" t="s">
        <v>804</v>
      </c>
      <c r="AH23" s="30" t="s">
        <v>26</v>
      </c>
      <c r="AI23" s="150"/>
    </row>
    <row r="24" spans="1:35" ht="66.75" customHeight="1">
      <c r="A24" s="563" t="s">
        <v>604</v>
      </c>
      <c r="B24" s="28" t="s">
        <v>605</v>
      </c>
      <c r="C24" s="88"/>
      <c r="D24" s="88"/>
      <c r="E24" s="88"/>
      <c r="F24" s="88"/>
      <c r="G24" s="146"/>
      <c r="H24" s="146"/>
      <c r="I24" s="146"/>
      <c r="J24" s="30"/>
      <c r="K24" s="146">
        <v>1996</v>
      </c>
      <c r="L24" s="146" t="s">
        <v>798</v>
      </c>
      <c r="M24" s="146" t="s">
        <v>803</v>
      </c>
      <c r="N24" s="146" t="s">
        <v>800</v>
      </c>
      <c r="O24" s="30" t="s">
        <v>26</v>
      </c>
      <c r="P24" s="146"/>
      <c r="Q24" s="32">
        <f>'приложение 1.1'!I25</f>
        <v>2.3699999999999997</v>
      </c>
      <c r="R24" s="77">
        <v>0.44</v>
      </c>
      <c r="S24" s="77">
        <f t="shared" si="0"/>
        <v>0.6199999999999997</v>
      </c>
      <c r="T24" s="147">
        <f>ROUND((231797+51038)/1000000*3.2,2)+0.14</f>
        <v>1.05</v>
      </c>
      <c r="U24" s="77">
        <f>ROUND((258767)/1000000,2)</f>
        <v>0.26</v>
      </c>
      <c r="V24" s="148"/>
      <c r="W24" s="148"/>
      <c r="X24" s="148"/>
      <c r="Y24" s="148"/>
      <c r="Z24" s="148"/>
      <c r="AA24" s="148"/>
      <c r="AB24" s="148"/>
      <c r="AC24" s="148"/>
      <c r="AD24" s="149">
        <v>2017</v>
      </c>
      <c r="AE24" s="149" t="s">
        <v>798</v>
      </c>
      <c r="AF24" s="146" t="s">
        <v>803</v>
      </c>
      <c r="AG24" s="146" t="s">
        <v>800</v>
      </c>
      <c r="AH24" s="30" t="s">
        <v>26</v>
      </c>
      <c r="AI24" s="150"/>
    </row>
    <row r="25" spans="1:35" ht="56.25" customHeight="1">
      <c r="A25" s="563" t="s">
        <v>606</v>
      </c>
      <c r="B25" s="28" t="s">
        <v>607</v>
      </c>
      <c r="C25" s="88"/>
      <c r="D25" s="88"/>
      <c r="E25" s="88"/>
      <c r="F25" s="88"/>
      <c r="G25" s="146"/>
      <c r="H25" s="146"/>
      <c r="I25" s="146"/>
      <c r="J25" s="30"/>
      <c r="K25" s="146">
        <v>1976</v>
      </c>
      <c r="L25" s="146" t="s">
        <v>798</v>
      </c>
      <c r="M25" s="20" t="s">
        <v>803</v>
      </c>
      <c r="N25" s="146" t="s">
        <v>800</v>
      </c>
      <c r="O25" s="30" t="s">
        <v>26</v>
      </c>
      <c r="P25" s="146"/>
      <c r="Q25" s="32">
        <f>'приложение 1.1'!I26</f>
        <v>1.1600000000000001</v>
      </c>
      <c r="R25" s="77">
        <v>0.08</v>
      </c>
      <c r="S25" s="77">
        <f t="shared" si="0"/>
        <v>0.19000000000000003</v>
      </c>
      <c r="T25" s="147">
        <f>ROUND((129458+2875)/1000000*5.03,2)</f>
        <v>0.67</v>
      </c>
      <c r="U25" s="77">
        <f>ROUND((221052)/1000000,2)</f>
        <v>0.22</v>
      </c>
      <c r="V25" s="148"/>
      <c r="W25" s="148"/>
      <c r="X25" s="148"/>
      <c r="Y25" s="148"/>
      <c r="Z25" s="148"/>
      <c r="AA25" s="148"/>
      <c r="AB25" s="148"/>
      <c r="AC25" s="148"/>
      <c r="AD25" s="149">
        <v>2017</v>
      </c>
      <c r="AE25" s="149" t="s">
        <v>798</v>
      </c>
      <c r="AF25" s="20" t="s">
        <v>803</v>
      </c>
      <c r="AG25" s="146" t="s">
        <v>800</v>
      </c>
      <c r="AH25" s="30" t="s">
        <v>26</v>
      </c>
      <c r="AI25" s="150"/>
    </row>
    <row r="26" spans="1:35" ht="15.75">
      <c r="A26" s="563" t="s">
        <v>608</v>
      </c>
      <c r="B26" s="28" t="s">
        <v>609</v>
      </c>
      <c r="C26" s="88"/>
      <c r="D26" s="88"/>
      <c r="E26" s="88"/>
      <c r="F26" s="88"/>
      <c r="G26" s="146">
        <v>1992</v>
      </c>
      <c r="H26" s="146" t="s">
        <v>805</v>
      </c>
      <c r="I26" s="146" t="s">
        <v>806</v>
      </c>
      <c r="J26" s="30">
        <v>8</v>
      </c>
      <c r="K26" s="146"/>
      <c r="L26" s="146"/>
      <c r="M26" s="146"/>
      <c r="N26" s="146"/>
      <c r="O26" s="30"/>
      <c r="P26" s="146"/>
      <c r="Q26" s="32">
        <f>'приложение 1.1'!I27</f>
        <v>38.64</v>
      </c>
      <c r="R26" s="77">
        <v>1.42</v>
      </c>
      <c r="S26" s="77">
        <f t="shared" si="0"/>
        <v>7.6899999999999995</v>
      </c>
      <c r="T26" s="147">
        <f>ROUND((2786952+5341+222932+47367)/1000000*8.94,2)</f>
        <v>27.38</v>
      </c>
      <c r="U26" s="77">
        <f>ROUND((2153795)/1000000,2)</f>
        <v>2.15</v>
      </c>
      <c r="V26" s="148"/>
      <c r="W26" s="148"/>
      <c r="X26" s="148"/>
      <c r="Y26" s="148"/>
      <c r="Z26" s="146">
        <v>2017</v>
      </c>
      <c r="AA26" s="146" t="s">
        <v>805</v>
      </c>
      <c r="AB26" s="146" t="s">
        <v>806</v>
      </c>
      <c r="AC26" s="30">
        <v>8</v>
      </c>
      <c r="AD26" s="148"/>
      <c r="AE26" s="148"/>
      <c r="AF26" s="148"/>
      <c r="AG26" s="151"/>
      <c r="AH26" s="148"/>
      <c r="AI26" s="150"/>
    </row>
    <row r="27" spans="1:35" ht="15.75">
      <c r="A27" s="563" t="s">
        <v>610</v>
      </c>
      <c r="B27" s="28" t="s">
        <v>611</v>
      </c>
      <c r="C27" s="88"/>
      <c r="D27" s="88"/>
      <c r="E27" s="88"/>
      <c r="F27" s="88"/>
      <c r="G27" s="146">
        <v>2000</v>
      </c>
      <c r="H27" s="146" t="s">
        <v>805</v>
      </c>
      <c r="I27" s="564" t="s">
        <v>216</v>
      </c>
      <c r="J27" s="30"/>
      <c r="K27" s="146"/>
      <c r="L27" s="146"/>
      <c r="M27" s="146"/>
      <c r="N27" s="146"/>
      <c r="O27" s="30"/>
      <c r="P27" s="146"/>
      <c r="Q27" s="32">
        <f>'приложение 1.1'!I28</f>
        <v>14.299999999999999</v>
      </c>
      <c r="R27" s="77">
        <v>0.87</v>
      </c>
      <c r="S27" s="77">
        <f t="shared" si="0"/>
        <v>3.7799999999999994</v>
      </c>
      <c r="T27" s="147">
        <f>ROUND(((853320+62656)*4.62+(219283+61351)*8.94)/1000000,2)</f>
        <v>6.74</v>
      </c>
      <c r="U27" s="77">
        <f>ROUND((129397+2776049)/1000000,2)</f>
        <v>2.91</v>
      </c>
      <c r="V27" s="148"/>
      <c r="W27" s="148"/>
      <c r="X27" s="148"/>
      <c r="Y27" s="148"/>
      <c r="Z27" s="146">
        <v>2017</v>
      </c>
      <c r="AA27" s="146" t="s">
        <v>805</v>
      </c>
      <c r="AB27" s="564" t="s">
        <v>216</v>
      </c>
      <c r="AC27" s="30"/>
      <c r="AD27" s="148"/>
      <c r="AE27" s="148"/>
      <c r="AF27" s="148"/>
      <c r="AG27" s="151"/>
      <c r="AH27" s="148"/>
      <c r="AI27" s="150"/>
    </row>
    <row r="28" spans="1:35" ht="15.75">
      <c r="A28" s="563" t="s">
        <v>612</v>
      </c>
      <c r="B28" s="28" t="s">
        <v>613</v>
      </c>
      <c r="C28" s="88"/>
      <c r="D28" s="88"/>
      <c r="E28" s="88"/>
      <c r="F28" s="88"/>
      <c r="G28" s="146">
        <v>1990</v>
      </c>
      <c r="H28" s="146" t="s">
        <v>805</v>
      </c>
      <c r="I28" s="146" t="s">
        <v>806</v>
      </c>
      <c r="J28" s="30"/>
      <c r="K28" s="146"/>
      <c r="L28" s="146"/>
      <c r="M28" s="146"/>
      <c r="N28" s="146"/>
      <c r="O28" s="30"/>
      <c r="P28" s="146"/>
      <c r="Q28" s="32">
        <f>'приложение 1.1'!I29</f>
        <v>2.45</v>
      </c>
      <c r="R28" s="63"/>
      <c r="S28" s="77">
        <f t="shared" si="0"/>
        <v>1.6400000000000001</v>
      </c>
      <c r="T28" s="147">
        <f>ROUND((101792+79)/1000000*7.53,2)</f>
        <v>0.77</v>
      </c>
      <c r="U28" s="77">
        <f>ROUND((35835)/1000000,2)</f>
        <v>0.04</v>
      </c>
      <c r="V28" s="148"/>
      <c r="W28" s="148"/>
      <c r="X28" s="148"/>
      <c r="Y28" s="148"/>
      <c r="Z28" s="146">
        <v>2017</v>
      </c>
      <c r="AA28" s="146" t="s">
        <v>805</v>
      </c>
      <c r="AB28" s="146" t="s">
        <v>806</v>
      </c>
      <c r="AC28" s="30"/>
      <c r="AD28" s="148"/>
      <c r="AE28" s="148"/>
      <c r="AF28" s="148"/>
      <c r="AG28" s="151"/>
      <c r="AH28" s="148"/>
      <c r="AI28" s="150"/>
    </row>
    <row r="29" spans="1:35" ht="15.75">
      <c r="A29" s="563" t="s">
        <v>614</v>
      </c>
      <c r="B29" s="39" t="s">
        <v>615</v>
      </c>
      <c r="C29" s="88"/>
      <c r="D29" s="88"/>
      <c r="E29" s="88"/>
      <c r="F29" s="88"/>
      <c r="G29" s="146">
        <v>1991</v>
      </c>
      <c r="H29" s="146" t="s">
        <v>805</v>
      </c>
      <c r="I29" s="146" t="s">
        <v>806</v>
      </c>
      <c r="J29" s="30">
        <v>1.26</v>
      </c>
      <c r="K29" s="146"/>
      <c r="L29" s="146"/>
      <c r="M29" s="146"/>
      <c r="N29" s="146"/>
      <c r="O29" s="30"/>
      <c r="P29" s="146"/>
      <c r="Q29" s="32">
        <f>'приложение 1.1'!I30</f>
        <v>7.96</v>
      </c>
      <c r="R29" s="77">
        <v>0.36</v>
      </c>
      <c r="S29" s="77">
        <f t="shared" si="0"/>
        <v>1.4699999999999993</v>
      </c>
      <c r="T29" s="147">
        <f>ROUND((583808+4857)/1000000*8.97,2)</f>
        <v>5.28</v>
      </c>
      <c r="U29" s="77">
        <f>ROUND((845049)/1000000,2)</f>
        <v>0.85</v>
      </c>
      <c r="V29" s="148"/>
      <c r="W29" s="148"/>
      <c r="X29" s="148"/>
      <c r="Y29" s="148"/>
      <c r="Z29" s="146">
        <v>2017</v>
      </c>
      <c r="AA29" s="146" t="s">
        <v>805</v>
      </c>
      <c r="AB29" s="146" t="s">
        <v>806</v>
      </c>
      <c r="AC29" s="30">
        <v>1.26</v>
      </c>
      <c r="AD29" s="148"/>
      <c r="AE29" s="148"/>
      <c r="AF29" s="148"/>
      <c r="AG29" s="151"/>
      <c r="AH29" s="148"/>
      <c r="AI29" s="150"/>
    </row>
    <row r="30" spans="1:35" ht="15.75">
      <c r="A30" s="563" t="s">
        <v>616</v>
      </c>
      <c r="B30" s="39" t="s">
        <v>617</v>
      </c>
      <c r="C30" s="88"/>
      <c r="D30" s="88"/>
      <c r="E30" s="88"/>
      <c r="F30" s="88"/>
      <c r="G30" s="146">
        <v>2001</v>
      </c>
      <c r="H30" s="146" t="s">
        <v>805</v>
      </c>
      <c r="I30" s="146" t="s">
        <v>806</v>
      </c>
      <c r="J30" s="30"/>
      <c r="K30" s="146"/>
      <c r="L30" s="146"/>
      <c r="M30" s="146"/>
      <c r="N30" s="146"/>
      <c r="O30" s="30"/>
      <c r="P30" s="146"/>
      <c r="Q30" s="32">
        <f>'приложение 1.1'!I31</f>
        <v>2.85</v>
      </c>
      <c r="R30" s="63"/>
      <c r="S30" s="77">
        <f t="shared" si="0"/>
        <v>1.9100000000000001</v>
      </c>
      <c r="T30" s="147">
        <f>ROUND((83843+8251)/1000000*8.94,2)</f>
        <v>0.82</v>
      </c>
      <c r="U30" s="77">
        <f>ROUND((124199)/1000000,2)</f>
        <v>0.12</v>
      </c>
      <c r="V30" s="148"/>
      <c r="W30" s="148"/>
      <c r="X30" s="148"/>
      <c r="Y30" s="148"/>
      <c r="Z30" s="146">
        <v>2017</v>
      </c>
      <c r="AA30" s="146" t="s">
        <v>805</v>
      </c>
      <c r="AB30" s="146" t="s">
        <v>806</v>
      </c>
      <c r="AC30" s="30"/>
      <c r="AD30" s="148"/>
      <c r="AE30" s="148"/>
      <c r="AF30" s="148"/>
      <c r="AG30" s="151"/>
      <c r="AH30" s="148"/>
      <c r="AI30" s="150"/>
    </row>
    <row r="31" spans="1:35" ht="15.75">
      <c r="A31" s="563" t="s">
        <v>618</v>
      </c>
      <c r="B31" s="28" t="s">
        <v>619</v>
      </c>
      <c r="C31" s="88"/>
      <c r="D31" s="88"/>
      <c r="E31" s="88"/>
      <c r="F31" s="88"/>
      <c r="G31" s="146">
        <v>2008</v>
      </c>
      <c r="H31" s="146" t="s">
        <v>805</v>
      </c>
      <c r="I31" s="146" t="s">
        <v>806</v>
      </c>
      <c r="J31" s="30"/>
      <c r="K31" s="146"/>
      <c r="L31" s="146"/>
      <c r="M31" s="146"/>
      <c r="N31" s="146"/>
      <c r="O31" s="30"/>
      <c r="P31" s="146"/>
      <c r="Q31" s="32">
        <f>'приложение 1.1'!I32</f>
        <v>0.76</v>
      </c>
      <c r="R31" s="77">
        <v>0.03</v>
      </c>
      <c r="S31" s="77">
        <f t="shared" si="0"/>
        <v>0.13999999999999996</v>
      </c>
      <c r="T31" s="147">
        <f>ROUND((37957+4745)/1000000*7.53,2)</f>
        <v>0.32</v>
      </c>
      <c r="U31" s="77">
        <f>ROUND((269517)/1000000,2)</f>
        <v>0.27</v>
      </c>
      <c r="V31" s="148"/>
      <c r="W31" s="148"/>
      <c r="X31" s="148"/>
      <c r="Y31" s="148"/>
      <c r="Z31" s="146">
        <v>2017</v>
      </c>
      <c r="AA31" s="146" t="s">
        <v>805</v>
      </c>
      <c r="AB31" s="146" t="s">
        <v>806</v>
      </c>
      <c r="AC31" s="30"/>
      <c r="AD31" s="148"/>
      <c r="AE31" s="148"/>
      <c r="AF31" s="148"/>
      <c r="AG31" s="151"/>
      <c r="AH31" s="148"/>
      <c r="AI31" s="150"/>
    </row>
    <row r="32" spans="1:35" ht="15.75">
      <c r="A32" s="563" t="s">
        <v>620</v>
      </c>
      <c r="B32" s="28" t="s">
        <v>621</v>
      </c>
      <c r="C32" s="88"/>
      <c r="D32" s="88"/>
      <c r="E32" s="88"/>
      <c r="F32" s="88"/>
      <c r="G32" s="146">
        <v>1982</v>
      </c>
      <c r="H32" s="146" t="s">
        <v>805</v>
      </c>
      <c r="I32" s="146" t="s">
        <v>808</v>
      </c>
      <c r="J32" s="30">
        <v>0.25</v>
      </c>
      <c r="K32" s="146"/>
      <c r="L32" s="146"/>
      <c r="M32" s="146"/>
      <c r="N32" s="146"/>
      <c r="O32" s="30"/>
      <c r="P32" s="146"/>
      <c r="Q32" s="32">
        <f>'приложение 1.1'!I33</f>
        <v>0.8700000000000001</v>
      </c>
      <c r="R32" s="77">
        <v>0.07</v>
      </c>
      <c r="S32" s="77">
        <f t="shared" si="0"/>
        <v>0.16000000000000006</v>
      </c>
      <c r="T32" s="147">
        <f>ROUND((120375+668)/1000000*5.03,2)</f>
        <v>0.61</v>
      </c>
      <c r="U32" s="77">
        <f>ROUND((25528)/1000000,2)</f>
        <v>0.03</v>
      </c>
      <c r="V32" s="148"/>
      <c r="W32" s="148"/>
      <c r="X32" s="148"/>
      <c r="Y32" s="148"/>
      <c r="Z32" s="146">
        <v>2017</v>
      </c>
      <c r="AA32" s="146" t="s">
        <v>805</v>
      </c>
      <c r="AB32" s="146" t="s">
        <v>808</v>
      </c>
      <c r="AC32" s="30">
        <v>0.4</v>
      </c>
      <c r="AD32" s="148"/>
      <c r="AE32" s="148"/>
      <c r="AF32" s="148"/>
      <c r="AG32" s="151"/>
      <c r="AH32" s="148"/>
      <c r="AI32" s="150"/>
    </row>
    <row r="33" spans="1:35" ht="15.75">
      <c r="A33" s="563" t="s">
        <v>622</v>
      </c>
      <c r="B33" s="28" t="s">
        <v>623</v>
      </c>
      <c r="C33" s="88"/>
      <c r="D33" s="88"/>
      <c r="E33" s="88"/>
      <c r="F33" s="88"/>
      <c r="G33" s="146">
        <v>1998</v>
      </c>
      <c r="H33" s="146" t="s">
        <v>805</v>
      </c>
      <c r="I33" s="146" t="s">
        <v>808</v>
      </c>
      <c r="J33" s="30">
        <v>1.26</v>
      </c>
      <c r="K33" s="146"/>
      <c r="L33" s="146"/>
      <c r="M33" s="146"/>
      <c r="N33" s="146"/>
      <c r="O33" s="30"/>
      <c r="P33" s="146"/>
      <c r="Q33" s="32">
        <f>'приложение 1.1'!I34</f>
        <v>14.02</v>
      </c>
      <c r="R33" s="77">
        <v>1.42</v>
      </c>
      <c r="S33" s="77">
        <f t="shared" si="0"/>
        <v>10.28</v>
      </c>
      <c r="T33" s="147">
        <f>ROUND((2004196+3683)/1000000*1.05,2)</f>
        <v>2.11</v>
      </c>
      <c r="U33" s="77">
        <f>ROUND((208497)/1000000,2)</f>
        <v>0.21</v>
      </c>
      <c r="V33" s="148"/>
      <c r="W33" s="148"/>
      <c r="X33" s="148"/>
      <c r="Y33" s="148"/>
      <c r="Z33" s="146">
        <v>2017</v>
      </c>
      <c r="AA33" s="146" t="s">
        <v>805</v>
      </c>
      <c r="AB33" s="146" t="s">
        <v>808</v>
      </c>
      <c r="AC33" s="30">
        <v>1.26</v>
      </c>
      <c r="AD33" s="148"/>
      <c r="AE33" s="148"/>
      <c r="AF33" s="148"/>
      <c r="AG33" s="151"/>
      <c r="AH33" s="148"/>
      <c r="AI33" s="150"/>
    </row>
    <row r="34" spans="1:35" ht="15.75">
      <c r="A34" s="563" t="s">
        <v>624</v>
      </c>
      <c r="B34" s="28" t="s">
        <v>625</v>
      </c>
      <c r="C34" s="88"/>
      <c r="D34" s="88"/>
      <c r="E34" s="88"/>
      <c r="F34" s="88"/>
      <c r="G34" s="146">
        <v>1994</v>
      </c>
      <c r="H34" s="146" t="s">
        <v>805</v>
      </c>
      <c r="I34" s="146" t="s">
        <v>806</v>
      </c>
      <c r="J34" s="30">
        <v>0.8</v>
      </c>
      <c r="K34" s="146"/>
      <c r="L34" s="146"/>
      <c r="M34" s="146"/>
      <c r="N34" s="146"/>
      <c r="O34" s="30" t="s">
        <v>556</v>
      </c>
      <c r="P34" s="146"/>
      <c r="Q34" s="32">
        <f>'приложение 1.1'!I35</f>
        <v>2.1</v>
      </c>
      <c r="R34" s="77">
        <v>0.13</v>
      </c>
      <c r="S34" s="77">
        <f t="shared" si="0"/>
        <v>0.3800000000000002</v>
      </c>
      <c r="T34" s="147">
        <f>ROUND((206425+1206)/1000000*7.09,2)</f>
        <v>1.47</v>
      </c>
      <c r="U34" s="77">
        <f>ROUND((121080)/1000000,2)</f>
        <v>0.12</v>
      </c>
      <c r="V34" s="148"/>
      <c r="W34" s="148"/>
      <c r="X34" s="148"/>
      <c r="Y34" s="148"/>
      <c r="Z34" s="146">
        <v>2017</v>
      </c>
      <c r="AA34" s="146" t="s">
        <v>805</v>
      </c>
      <c r="AB34" s="146" t="s">
        <v>808</v>
      </c>
      <c r="AC34" s="30">
        <v>0.8</v>
      </c>
      <c r="AD34" s="148"/>
      <c r="AE34" s="148"/>
      <c r="AF34" s="148"/>
      <c r="AG34" s="151"/>
      <c r="AH34" s="148"/>
      <c r="AI34" s="150"/>
    </row>
    <row r="35" spans="1:35" ht="56.25" customHeight="1">
      <c r="A35" s="563" t="s">
        <v>626</v>
      </c>
      <c r="B35" s="28" t="s">
        <v>627</v>
      </c>
      <c r="C35" s="88"/>
      <c r="D35" s="88"/>
      <c r="E35" s="88"/>
      <c r="F35" s="88"/>
      <c r="G35" s="146"/>
      <c r="H35" s="146"/>
      <c r="I35" s="146"/>
      <c r="J35" s="30"/>
      <c r="K35" s="146">
        <v>1986</v>
      </c>
      <c r="L35" s="146" t="s">
        <v>798</v>
      </c>
      <c r="M35" s="146"/>
      <c r="N35" s="146" t="s">
        <v>809</v>
      </c>
      <c r="O35" s="30">
        <v>0.53</v>
      </c>
      <c r="P35" s="146"/>
      <c r="Q35" s="32">
        <f>'приложение 1.1'!I36</f>
        <v>0.8999999999999999</v>
      </c>
      <c r="R35" s="77">
        <v>0.18</v>
      </c>
      <c r="S35" s="77">
        <f t="shared" si="0"/>
        <v>0.42999999999999994</v>
      </c>
      <c r="T35" s="147">
        <f>ROUND((58657)/1000000*4.77,2)</f>
        <v>0.28</v>
      </c>
      <c r="U35" s="77">
        <f>ROUND((8556)/1000000,2)</f>
        <v>0.01</v>
      </c>
      <c r="V35" s="148"/>
      <c r="W35" s="148"/>
      <c r="X35" s="148"/>
      <c r="Y35" s="148"/>
      <c r="Z35" s="148"/>
      <c r="AA35" s="148"/>
      <c r="AB35" s="148"/>
      <c r="AC35" s="148"/>
      <c r="AD35" s="146">
        <v>2017</v>
      </c>
      <c r="AE35" s="146" t="s">
        <v>798</v>
      </c>
      <c r="AF35" s="146"/>
      <c r="AG35" s="146" t="s">
        <v>810</v>
      </c>
      <c r="AH35" s="30">
        <v>0.53</v>
      </c>
      <c r="AI35" s="150"/>
    </row>
    <row r="36" spans="1:35" ht="56.25" customHeight="1">
      <c r="A36" s="563" t="s">
        <v>628</v>
      </c>
      <c r="B36" s="28" t="s">
        <v>629</v>
      </c>
      <c r="C36" s="88"/>
      <c r="D36" s="88"/>
      <c r="E36" s="88"/>
      <c r="F36" s="88"/>
      <c r="G36" s="146"/>
      <c r="H36" s="146"/>
      <c r="I36" s="146"/>
      <c r="J36" s="30"/>
      <c r="K36" s="146">
        <v>1993</v>
      </c>
      <c r="L36" s="146" t="s">
        <v>798</v>
      </c>
      <c r="M36" s="146"/>
      <c r="N36" s="146" t="s">
        <v>811</v>
      </c>
      <c r="O36" s="30">
        <v>0.22</v>
      </c>
      <c r="P36" s="146"/>
      <c r="Q36" s="32">
        <f>'приложение 1.1'!I37</f>
        <v>0.30000000000000004</v>
      </c>
      <c r="R36" s="63"/>
      <c r="S36" s="77">
        <f t="shared" si="0"/>
        <v>0.17000000000000004</v>
      </c>
      <c r="T36" s="147">
        <f>ROUND((35264)/1000000*3.75,2)</f>
        <v>0.13</v>
      </c>
      <c r="U36" s="77">
        <f>ROUND((4291)/1000000,2)</f>
        <v>0</v>
      </c>
      <c r="V36" s="148"/>
      <c r="W36" s="148"/>
      <c r="X36" s="148"/>
      <c r="Y36" s="148"/>
      <c r="Z36" s="148"/>
      <c r="AA36" s="148"/>
      <c r="AB36" s="148"/>
      <c r="AC36" s="148"/>
      <c r="AD36" s="146">
        <v>2017</v>
      </c>
      <c r="AE36" s="146" t="s">
        <v>798</v>
      </c>
      <c r="AF36" s="146"/>
      <c r="AG36" s="146" t="s">
        <v>812</v>
      </c>
      <c r="AH36" s="30">
        <v>0.22</v>
      </c>
      <c r="AI36" s="150"/>
    </row>
    <row r="37" spans="1:35" ht="56.25" customHeight="1">
      <c r="A37" s="563" t="s">
        <v>630</v>
      </c>
      <c r="B37" s="28" t="s">
        <v>631</v>
      </c>
      <c r="C37" s="88"/>
      <c r="D37" s="88"/>
      <c r="E37" s="88"/>
      <c r="F37" s="88"/>
      <c r="G37" s="146"/>
      <c r="H37" s="146"/>
      <c r="I37" s="146"/>
      <c r="J37" s="30"/>
      <c r="K37" s="146">
        <v>1996</v>
      </c>
      <c r="L37" s="146" t="s">
        <v>798</v>
      </c>
      <c r="M37" s="146"/>
      <c r="N37" s="146" t="s">
        <v>811</v>
      </c>
      <c r="O37" s="30">
        <v>0.7</v>
      </c>
      <c r="P37" s="146"/>
      <c r="Q37" s="32">
        <f>'приложение 1.1'!I38</f>
        <v>0.96</v>
      </c>
      <c r="R37" s="63"/>
      <c r="S37" s="77">
        <f t="shared" si="0"/>
        <v>0.53</v>
      </c>
      <c r="T37" s="147">
        <f>ROUND((115508)/1000000*3.75,2)</f>
        <v>0.43</v>
      </c>
      <c r="U37" s="77">
        <f>ROUND((4291)/1000000,2)</f>
        <v>0</v>
      </c>
      <c r="V37" s="148"/>
      <c r="W37" s="148"/>
      <c r="X37" s="148"/>
      <c r="Y37" s="148"/>
      <c r="Z37" s="148"/>
      <c r="AA37" s="148"/>
      <c r="AB37" s="148"/>
      <c r="AC37" s="148"/>
      <c r="AD37" s="146">
        <v>2017</v>
      </c>
      <c r="AE37" s="146" t="s">
        <v>798</v>
      </c>
      <c r="AF37" s="146"/>
      <c r="AG37" s="146" t="s">
        <v>812</v>
      </c>
      <c r="AH37" s="30">
        <v>0.7</v>
      </c>
      <c r="AI37" s="150"/>
    </row>
    <row r="38" spans="1:35" ht="56.25" customHeight="1">
      <c r="A38" s="563" t="s">
        <v>632</v>
      </c>
      <c r="B38" s="28" t="s">
        <v>633</v>
      </c>
      <c r="C38" s="88"/>
      <c r="D38" s="88"/>
      <c r="E38" s="88"/>
      <c r="F38" s="88"/>
      <c r="G38" s="146"/>
      <c r="H38" s="146"/>
      <c r="I38" s="146"/>
      <c r="J38" s="30"/>
      <c r="K38" s="146">
        <v>1990</v>
      </c>
      <c r="L38" s="146" t="s">
        <v>798</v>
      </c>
      <c r="M38" s="146"/>
      <c r="N38" s="146" t="s">
        <v>813</v>
      </c>
      <c r="O38" s="30">
        <v>0.86</v>
      </c>
      <c r="P38" s="146"/>
      <c r="Q38" s="32">
        <f>'приложение 1.1'!I39</f>
        <v>1.06</v>
      </c>
      <c r="R38" s="63"/>
      <c r="S38" s="77">
        <f t="shared" si="0"/>
        <v>0.66</v>
      </c>
      <c r="T38" s="147">
        <f>ROUND((105104)/1000000*3.75,2)</f>
        <v>0.39</v>
      </c>
      <c r="U38" s="77">
        <f>ROUND((8556)/1000000,2)</f>
        <v>0.01</v>
      </c>
      <c r="V38" s="148"/>
      <c r="W38" s="148"/>
      <c r="X38" s="148"/>
      <c r="Y38" s="148"/>
      <c r="Z38" s="148"/>
      <c r="AA38" s="148"/>
      <c r="AB38" s="148"/>
      <c r="AC38" s="148"/>
      <c r="AD38" s="146">
        <v>2017</v>
      </c>
      <c r="AE38" s="146" t="s">
        <v>798</v>
      </c>
      <c r="AF38" s="146"/>
      <c r="AG38" s="146" t="s">
        <v>814</v>
      </c>
      <c r="AH38" s="30">
        <v>0.86</v>
      </c>
      <c r="AI38" s="150"/>
    </row>
    <row r="39" spans="1:35" ht="56.25" customHeight="1">
      <c r="A39" s="563" t="s">
        <v>634</v>
      </c>
      <c r="B39" s="28" t="s">
        <v>635</v>
      </c>
      <c r="C39" s="88"/>
      <c r="D39" s="88"/>
      <c r="E39" s="88"/>
      <c r="F39" s="88"/>
      <c r="G39" s="146"/>
      <c r="H39" s="146"/>
      <c r="I39" s="146"/>
      <c r="J39" s="30"/>
      <c r="K39" s="146">
        <v>1993</v>
      </c>
      <c r="L39" s="146" t="s">
        <v>798</v>
      </c>
      <c r="M39" s="146"/>
      <c r="N39" s="146" t="s">
        <v>815</v>
      </c>
      <c r="O39" s="30">
        <v>0.35</v>
      </c>
      <c r="P39" s="146"/>
      <c r="Q39" s="32">
        <f>'приложение 1.1'!I40</f>
        <v>0.42</v>
      </c>
      <c r="R39" s="63"/>
      <c r="S39" s="77">
        <f t="shared" si="0"/>
        <v>0.21999999999999997</v>
      </c>
      <c r="T39" s="147">
        <f>ROUND((52111)/1000000*3.75,2)</f>
        <v>0.2</v>
      </c>
      <c r="U39" s="77">
        <f>ROUND((4291)/1000000,2)</f>
        <v>0</v>
      </c>
      <c r="V39" s="148"/>
      <c r="W39" s="148"/>
      <c r="X39" s="148"/>
      <c r="Y39" s="148"/>
      <c r="Z39" s="148"/>
      <c r="AA39" s="148"/>
      <c r="AB39" s="148"/>
      <c r="AC39" s="148"/>
      <c r="AD39" s="146">
        <v>2017</v>
      </c>
      <c r="AE39" s="146" t="s">
        <v>798</v>
      </c>
      <c r="AF39" s="146"/>
      <c r="AG39" s="146" t="s">
        <v>812</v>
      </c>
      <c r="AH39" s="30">
        <v>0.35</v>
      </c>
      <c r="AI39" s="150"/>
    </row>
    <row r="40" spans="1:35" ht="56.25" customHeight="1">
      <c r="A40" s="563" t="s">
        <v>636</v>
      </c>
      <c r="B40" s="28" t="s">
        <v>637</v>
      </c>
      <c r="C40" s="88"/>
      <c r="D40" s="88"/>
      <c r="E40" s="88"/>
      <c r="F40" s="88"/>
      <c r="G40" s="146"/>
      <c r="H40" s="146"/>
      <c r="I40" s="146"/>
      <c r="J40" s="30"/>
      <c r="K40" s="146">
        <v>1992</v>
      </c>
      <c r="L40" s="146" t="s">
        <v>798</v>
      </c>
      <c r="M40" s="146"/>
      <c r="N40" s="146" t="s">
        <v>816</v>
      </c>
      <c r="O40" s="30">
        <v>0.29</v>
      </c>
      <c r="P40" s="146"/>
      <c r="Q40" s="32">
        <f>'приложение 1.1'!I41</f>
        <v>0.4</v>
      </c>
      <c r="R40" s="63"/>
      <c r="S40" s="77">
        <f t="shared" si="0"/>
        <v>0.22000000000000003</v>
      </c>
      <c r="T40" s="147">
        <f>ROUND((48920)/1000000*3.75,2)</f>
        <v>0.18</v>
      </c>
      <c r="U40" s="77">
        <f>ROUND((4291)/1000000,2)</f>
        <v>0</v>
      </c>
      <c r="V40" s="148"/>
      <c r="W40" s="148"/>
      <c r="X40" s="148"/>
      <c r="Y40" s="148"/>
      <c r="Z40" s="148"/>
      <c r="AA40" s="148"/>
      <c r="AB40" s="148"/>
      <c r="AC40" s="148"/>
      <c r="AD40" s="146">
        <v>2017</v>
      </c>
      <c r="AE40" s="146" t="s">
        <v>798</v>
      </c>
      <c r="AF40" s="146"/>
      <c r="AG40" s="146" t="s">
        <v>812</v>
      </c>
      <c r="AH40" s="30">
        <v>0.29</v>
      </c>
      <c r="AI40" s="150"/>
    </row>
    <row r="41" spans="1:35" ht="31.5">
      <c r="A41" s="563" t="s">
        <v>638</v>
      </c>
      <c r="B41" s="40" t="s">
        <v>640</v>
      </c>
      <c r="C41" s="88"/>
      <c r="D41" s="88"/>
      <c r="E41" s="88"/>
      <c r="F41" s="88"/>
      <c r="G41" s="146"/>
      <c r="H41" s="146"/>
      <c r="I41" s="146"/>
      <c r="J41" s="31"/>
      <c r="K41" s="146">
        <v>1990</v>
      </c>
      <c r="L41" s="146" t="s">
        <v>798</v>
      </c>
      <c r="M41" s="20" t="s">
        <v>803</v>
      </c>
      <c r="N41" s="146" t="s">
        <v>804</v>
      </c>
      <c r="O41" s="31"/>
      <c r="P41" s="146"/>
      <c r="Q41" s="32">
        <f>'приложение 1.1'!I42</f>
        <v>1.404</v>
      </c>
      <c r="R41" s="77">
        <v>0.13</v>
      </c>
      <c r="S41" s="77">
        <f t="shared" si="0"/>
        <v>0.30400000000000005</v>
      </c>
      <c r="T41" s="147">
        <f>ROUND((20774+248511)/1000000*3.09,2)</f>
        <v>0.83</v>
      </c>
      <c r="U41" s="77">
        <f>ROUND((136072)/1000000,2)</f>
        <v>0.14</v>
      </c>
      <c r="V41" s="148"/>
      <c r="W41" s="148"/>
      <c r="X41" s="148"/>
      <c r="Y41" s="148"/>
      <c r="Z41" s="148"/>
      <c r="AA41" s="148"/>
      <c r="AB41" s="148"/>
      <c r="AC41" s="148"/>
      <c r="AD41" s="146">
        <v>2018</v>
      </c>
      <c r="AE41" s="146" t="s">
        <v>798</v>
      </c>
      <c r="AF41" s="20" t="s">
        <v>803</v>
      </c>
      <c r="AG41" s="146" t="s">
        <v>804</v>
      </c>
      <c r="AH41" s="31"/>
      <c r="AI41" s="150"/>
    </row>
    <row r="42" spans="1:35" ht="31.5">
      <c r="A42" s="563" t="s">
        <v>639</v>
      </c>
      <c r="B42" s="40" t="s">
        <v>642</v>
      </c>
      <c r="C42" s="88"/>
      <c r="D42" s="88"/>
      <c r="E42" s="88"/>
      <c r="F42" s="88"/>
      <c r="G42" s="146"/>
      <c r="H42" s="146"/>
      <c r="I42" s="146"/>
      <c r="J42" s="31"/>
      <c r="K42" s="146">
        <v>1985</v>
      </c>
      <c r="L42" s="146" t="s">
        <v>798</v>
      </c>
      <c r="M42" s="20" t="s">
        <v>803</v>
      </c>
      <c r="N42" s="146" t="s">
        <v>804</v>
      </c>
      <c r="O42" s="31">
        <v>0.54</v>
      </c>
      <c r="P42" s="146"/>
      <c r="Q42" s="32">
        <f>'приложение 1.1'!I43</f>
        <v>0.29400000000000004</v>
      </c>
      <c r="R42" s="77">
        <v>0.014</v>
      </c>
      <c r="S42" s="77">
        <f t="shared" si="0"/>
        <v>0.14</v>
      </c>
      <c r="T42" s="147">
        <f>ROUND((15840)/1000000*8.94,2)</f>
        <v>0.14</v>
      </c>
      <c r="U42" s="77">
        <f>ROUND((4440)/1000000,2)</f>
        <v>0</v>
      </c>
      <c r="V42" s="148"/>
      <c r="W42" s="148"/>
      <c r="X42" s="148"/>
      <c r="Y42" s="148"/>
      <c r="Z42" s="148"/>
      <c r="AA42" s="148"/>
      <c r="AB42" s="148"/>
      <c r="AC42" s="148"/>
      <c r="AD42" s="146">
        <v>2018</v>
      </c>
      <c r="AE42" s="146" t="s">
        <v>798</v>
      </c>
      <c r="AF42" s="20" t="s">
        <v>803</v>
      </c>
      <c r="AG42" s="146" t="s">
        <v>817</v>
      </c>
      <c r="AH42" s="31">
        <v>0.54</v>
      </c>
      <c r="AI42" s="150"/>
    </row>
    <row r="43" spans="1:35" ht="31.5">
      <c r="A43" s="563" t="s">
        <v>641</v>
      </c>
      <c r="B43" s="40" t="s">
        <v>96</v>
      </c>
      <c r="C43" s="88"/>
      <c r="D43" s="88"/>
      <c r="E43" s="88"/>
      <c r="F43" s="88"/>
      <c r="G43" s="146"/>
      <c r="H43" s="146"/>
      <c r="I43" s="146"/>
      <c r="J43" s="30"/>
      <c r="K43" s="146">
        <v>1976</v>
      </c>
      <c r="L43" s="146" t="s">
        <v>798</v>
      </c>
      <c r="M43" s="20" t="s">
        <v>803</v>
      </c>
      <c r="N43" s="146" t="s">
        <v>800</v>
      </c>
      <c r="O43" s="30"/>
      <c r="P43" s="146"/>
      <c r="Q43" s="32">
        <f>'приложение 1.1'!I44</f>
        <v>1.201</v>
      </c>
      <c r="R43" s="77">
        <v>0.11</v>
      </c>
      <c r="S43" s="77">
        <f t="shared" si="0"/>
        <v>0.241</v>
      </c>
      <c r="T43" s="147">
        <f>ROUND((12203+218641)/1000000*3.18,2)</f>
        <v>0.73</v>
      </c>
      <c r="U43" s="77">
        <f>ROUND((123330)/1000000,2)</f>
        <v>0.12</v>
      </c>
      <c r="V43" s="148"/>
      <c r="W43" s="148"/>
      <c r="X43" s="148"/>
      <c r="Y43" s="148"/>
      <c r="Z43" s="148"/>
      <c r="AA43" s="148"/>
      <c r="AB43" s="148"/>
      <c r="AC43" s="148"/>
      <c r="AD43" s="146">
        <v>2018</v>
      </c>
      <c r="AE43" s="146" t="s">
        <v>798</v>
      </c>
      <c r="AF43" s="20" t="s">
        <v>803</v>
      </c>
      <c r="AG43" s="146" t="s">
        <v>800</v>
      </c>
      <c r="AH43" s="30"/>
      <c r="AI43" s="150"/>
    </row>
    <row r="44" spans="1:35" s="8" customFormat="1" ht="15.75">
      <c r="A44" s="563" t="s">
        <v>643</v>
      </c>
      <c r="B44" s="40" t="s">
        <v>645</v>
      </c>
      <c r="C44" s="88"/>
      <c r="D44" s="152"/>
      <c r="E44" s="152"/>
      <c r="F44" s="152"/>
      <c r="G44" s="20">
        <v>1994</v>
      </c>
      <c r="H44" s="20" t="s">
        <v>805</v>
      </c>
      <c r="I44" s="20" t="s">
        <v>806</v>
      </c>
      <c r="J44" s="30"/>
      <c r="K44" s="20"/>
      <c r="L44" s="20"/>
      <c r="M44" s="20"/>
      <c r="N44" s="146"/>
      <c r="O44" s="30"/>
      <c r="P44" s="20"/>
      <c r="Q44" s="32">
        <f>'приложение 1.1'!I45</f>
        <v>9.215</v>
      </c>
      <c r="R44" s="33">
        <v>0.545</v>
      </c>
      <c r="S44" s="77">
        <f t="shared" si="0"/>
        <v>2.3899999999999997</v>
      </c>
      <c r="T44" s="147">
        <f>ROUND((5649+18567+1227321)/1000000*4.62,2)</f>
        <v>5.78</v>
      </c>
      <c r="U44" s="77">
        <f>ROUND((500218)/1000000,2)</f>
        <v>0.5</v>
      </c>
      <c r="V44" s="153"/>
      <c r="W44" s="153"/>
      <c r="X44" s="153"/>
      <c r="Y44" s="153"/>
      <c r="Z44" s="146">
        <v>2018</v>
      </c>
      <c r="AA44" s="146" t="s">
        <v>805</v>
      </c>
      <c r="AB44" s="20" t="s">
        <v>806</v>
      </c>
      <c r="AC44" s="30"/>
      <c r="AD44" s="153"/>
      <c r="AE44" s="153"/>
      <c r="AF44" s="153"/>
      <c r="AG44" s="154"/>
      <c r="AH44" s="153"/>
      <c r="AI44" s="155"/>
    </row>
    <row r="45" spans="1:35" ht="15.75">
      <c r="A45" s="563" t="s">
        <v>644</v>
      </c>
      <c r="B45" s="40" t="s">
        <v>647</v>
      </c>
      <c r="C45" s="88"/>
      <c r="D45" s="88"/>
      <c r="E45" s="88"/>
      <c r="F45" s="88"/>
      <c r="G45" s="146">
        <v>2004</v>
      </c>
      <c r="H45" s="20" t="s">
        <v>805</v>
      </c>
      <c r="I45" s="146" t="s">
        <v>806</v>
      </c>
      <c r="J45" s="30"/>
      <c r="K45" s="146"/>
      <c r="L45" s="146"/>
      <c r="M45" s="146"/>
      <c r="N45" s="146"/>
      <c r="O45" s="30"/>
      <c r="P45" s="146"/>
      <c r="Q45" s="32">
        <f>'приложение 1.1'!I46</f>
        <v>14.2</v>
      </c>
      <c r="R45" s="77">
        <v>0.54</v>
      </c>
      <c r="S45" s="77">
        <f t="shared" si="0"/>
        <v>4.4799999999999995</v>
      </c>
      <c r="T45" s="147">
        <f>ROUND((13115+1361676+91239+39984+142221)/1000000*4.62,2)</f>
        <v>7.61</v>
      </c>
      <c r="U45" s="77">
        <f>ROUND((1573411)/1000000,2)</f>
        <v>1.57</v>
      </c>
      <c r="V45" s="148"/>
      <c r="W45" s="148"/>
      <c r="X45" s="148"/>
      <c r="Y45" s="148"/>
      <c r="Z45" s="146">
        <v>2018</v>
      </c>
      <c r="AA45" s="146" t="s">
        <v>805</v>
      </c>
      <c r="AB45" s="146" t="s">
        <v>806</v>
      </c>
      <c r="AC45" s="30"/>
      <c r="AD45" s="148"/>
      <c r="AE45" s="148"/>
      <c r="AF45" s="148"/>
      <c r="AG45" s="151"/>
      <c r="AH45" s="148"/>
      <c r="AI45" s="150"/>
    </row>
    <row r="46" spans="1:35" ht="15.75">
      <c r="A46" s="563" t="s">
        <v>646</v>
      </c>
      <c r="B46" s="40" t="s">
        <v>649</v>
      </c>
      <c r="C46" s="88"/>
      <c r="D46" s="88"/>
      <c r="E46" s="88"/>
      <c r="F46" s="88"/>
      <c r="G46" s="146">
        <v>1982</v>
      </c>
      <c r="H46" s="20" t="s">
        <v>805</v>
      </c>
      <c r="I46" s="146" t="s">
        <v>806</v>
      </c>
      <c r="J46" s="30">
        <v>12.6</v>
      </c>
      <c r="K46" s="146"/>
      <c r="L46" s="146"/>
      <c r="M46" s="146"/>
      <c r="N46" s="146"/>
      <c r="O46" s="30"/>
      <c r="P46" s="146"/>
      <c r="Q46" s="32">
        <f>'приложение 1.1'!I47</f>
        <v>41.305</v>
      </c>
      <c r="R46" s="77">
        <v>0.53</v>
      </c>
      <c r="S46" s="77">
        <f t="shared" si="0"/>
        <v>1.8849999999999998</v>
      </c>
      <c r="T46" s="147">
        <f>ROUND((6059.38+7467531.9+13335+786257)/1000000*4.62,2)</f>
        <v>38.22</v>
      </c>
      <c r="U46" s="77">
        <f>ROUND((402041+269068)/1000000,2)</f>
        <v>0.67</v>
      </c>
      <c r="V46" s="148"/>
      <c r="W46" s="148"/>
      <c r="X46" s="148"/>
      <c r="Y46" s="148"/>
      <c r="Z46" s="146">
        <v>2018</v>
      </c>
      <c r="AA46" s="146" t="s">
        <v>805</v>
      </c>
      <c r="AB46" s="146" t="s">
        <v>806</v>
      </c>
      <c r="AC46" s="30">
        <v>20</v>
      </c>
      <c r="AD46" s="148"/>
      <c r="AE46" s="148"/>
      <c r="AF46" s="148"/>
      <c r="AG46" s="151"/>
      <c r="AH46" s="148"/>
      <c r="AI46" s="150"/>
    </row>
    <row r="47" spans="1:35" ht="15.75">
      <c r="A47" s="563" t="s">
        <v>648</v>
      </c>
      <c r="B47" s="40" t="s">
        <v>651</v>
      </c>
      <c r="C47" s="88"/>
      <c r="D47" s="88"/>
      <c r="E47" s="88"/>
      <c r="F47" s="88"/>
      <c r="G47" s="146">
        <v>1987</v>
      </c>
      <c r="H47" s="20" t="s">
        <v>805</v>
      </c>
      <c r="I47" s="146" t="s">
        <v>806</v>
      </c>
      <c r="J47" s="30"/>
      <c r="K47" s="146"/>
      <c r="L47" s="146"/>
      <c r="M47" s="146"/>
      <c r="N47" s="146"/>
      <c r="O47" s="30"/>
      <c r="P47" s="146"/>
      <c r="Q47" s="32">
        <f>'приложение 1.1'!I48</f>
        <v>7.26</v>
      </c>
      <c r="R47" s="77">
        <v>1.01</v>
      </c>
      <c r="S47" s="77">
        <f t="shared" si="0"/>
        <v>1.68</v>
      </c>
      <c r="T47" s="147">
        <f>ROUND((39010+434639)/1000000*8.97,2)</f>
        <v>4.25</v>
      </c>
      <c r="U47" s="77">
        <f>ROUND((315196)/1000000,2)</f>
        <v>0.32</v>
      </c>
      <c r="V47" s="148"/>
      <c r="W47" s="148"/>
      <c r="X47" s="148"/>
      <c r="Y47" s="148"/>
      <c r="Z47" s="146">
        <v>2018</v>
      </c>
      <c r="AA47" s="146" t="s">
        <v>805</v>
      </c>
      <c r="AB47" s="146" t="s">
        <v>806</v>
      </c>
      <c r="AC47" s="30"/>
      <c r="AD47" s="148"/>
      <c r="AE47" s="148"/>
      <c r="AF47" s="148"/>
      <c r="AG47" s="151"/>
      <c r="AH47" s="148"/>
      <c r="AI47" s="150"/>
    </row>
    <row r="48" spans="1:35" ht="15.75">
      <c r="A48" s="563" t="s">
        <v>650</v>
      </c>
      <c r="B48" s="28" t="s">
        <v>653</v>
      </c>
      <c r="C48" s="88"/>
      <c r="D48" s="88"/>
      <c r="E48" s="88"/>
      <c r="F48" s="88"/>
      <c r="G48" s="146">
        <v>1985</v>
      </c>
      <c r="H48" s="20" t="s">
        <v>805</v>
      </c>
      <c r="I48" s="146" t="s">
        <v>807</v>
      </c>
      <c r="J48" s="30"/>
      <c r="K48" s="146"/>
      <c r="L48" s="146"/>
      <c r="M48" s="146"/>
      <c r="N48" s="146"/>
      <c r="O48" s="30"/>
      <c r="P48" s="146"/>
      <c r="Q48" s="32">
        <f>'приложение 1.1'!I49</f>
        <v>7.005</v>
      </c>
      <c r="R48" s="77">
        <v>0.3</v>
      </c>
      <c r="S48" s="77">
        <f t="shared" si="0"/>
        <v>1.5350000000000001</v>
      </c>
      <c r="T48" s="147">
        <f>ROUND((56876+237165)/1000000*8.94,2)</f>
        <v>2.63</v>
      </c>
      <c r="U48" s="77">
        <f>ROUND((2538062)/1000000,2)</f>
        <v>2.54</v>
      </c>
      <c r="V48" s="148"/>
      <c r="W48" s="148"/>
      <c r="X48" s="148"/>
      <c r="Y48" s="148"/>
      <c r="Z48" s="146">
        <v>2018</v>
      </c>
      <c r="AA48" s="146" t="s">
        <v>805</v>
      </c>
      <c r="AB48" s="146" t="s">
        <v>807</v>
      </c>
      <c r="AC48" s="30"/>
      <c r="AD48" s="148"/>
      <c r="AE48" s="148"/>
      <c r="AF48" s="148"/>
      <c r="AG48" s="151"/>
      <c r="AH48" s="148"/>
      <c r="AI48" s="150"/>
    </row>
    <row r="49" spans="1:35" ht="15.75">
      <c r="A49" s="563" t="s">
        <v>652</v>
      </c>
      <c r="B49" s="28" t="s">
        <v>655</v>
      </c>
      <c r="C49" s="88"/>
      <c r="D49" s="88"/>
      <c r="E49" s="88"/>
      <c r="F49" s="88"/>
      <c r="G49" s="146">
        <v>1988</v>
      </c>
      <c r="H49" s="20" t="s">
        <v>805</v>
      </c>
      <c r="I49" s="146">
        <v>0</v>
      </c>
      <c r="J49" s="30">
        <v>0</v>
      </c>
      <c r="K49" s="146"/>
      <c r="L49" s="146"/>
      <c r="M49" s="146"/>
      <c r="N49" s="146"/>
      <c r="O49" s="30"/>
      <c r="P49" s="146"/>
      <c r="Q49" s="32">
        <f>'приложение 1.1'!I50</f>
        <v>7.62</v>
      </c>
      <c r="R49" s="77">
        <v>0.28</v>
      </c>
      <c r="S49" s="77">
        <f t="shared" si="0"/>
        <v>0.9600000000000004</v>
      </c>
      <c r="T49" s="147">
        <f>ROUND((52307+230935+3729+190184)/1000000*8.94,2)</f>
        <v>4.27</v>
      </c>
      <c r="U49" s="77">
        <f>ROUND((2112039)/1000000,2)</f>
        <v>2.11</v>
      </c>
      <c r="V49" s="148"/>
      <c r="W49" s="148"/>
      <c r="X49" s="148"/>
      <c r="Y49" s="148"/>
      <c r="Z49" s="146">
        <v>2018</v>
      </c>
      <c r="AA49" s="146" t="s">
        <v>805</v>
      </c>
      <c r="AB49" s="146">
        <v>0</v>
      </c>
      <c r="AC49" s="30">
        <v>0</v>
      </c>
      <c r="AD49" s="148"/>
      <c r="AE49" s="148"/>
      <c r="AF49" s="148"/>
      <c r="AG49" s="151"/>
      <c r="AH49" s="148"/>
      <c r="AI49" s="150"/>
    </row>
    <row r="50" spans="1:35" ht="15.75">
      <c r="A50" s="563" t="s">
        <v>654</v>
      </c>
      <c r="B50" s="28" t="s">
        <v>657</v>
      </c>
      <c r="C50" s="88"/>
      <c r="D50" s="88"/>
      <c r="E50" s="88"/>
      <c r="F50" s="88"/>
      <c r="G50" s="146">
        <v>2005</v>
      </c>
      <c r="H50" s="20" t="s">
        <v>805</v>
      </c>
      <c r="I50" s="146">
        <v>0</v>
      </c>
      <c r="J50" s="30">
        <v>0</v>
      </c>
      <c r="K50" s="146"/>
      <c r="L50" s="146"/>
      <c r="M50" s="146"/>
      <c r="N50" s="146"/>
      <c r="O50" s="30"/>
      <c r="P50" s="146"/>
      <c r="Q50" s="32">
        <f>'приложение 1.1'!I51</f>
        <v>4.53</v>
      </c>
      <c r="R50" s="77">
        <v>0.21</v>
      </c>
      <c r="S50" s="77">
        <f t="shared" si="0"/>
        <v>0.96</v>
      </c>
      <c r="T50" s="147">
        <f>ROUND((1847+28377+40076+128426)/1000000*8.94,2)</f>
        <v>1.78</v>
      </c>
      <c r="U50" s="77">
        <f>ROUND((31007+1546911)/1000000,2)</f>
        <v>1.58</v>
      </c>
      <c r="V50" s="148"/>
      <c r="W50" s="148"/>
      <c r="X50" s="148"/>
      <c r="Y50" s="148"/>
      <c r="Z50" s="146">
        <v>2018</v>
      </c>
      <c r="AA50" s="146" t="s">
        <v>805</v>
      </c>
      <c r="AB50" s="146">
        <v>0</v>
      </c>
      <c r="AC50" s="30">
        <v>0</v>
      </c>
      <c r="AD50" s="148"/>
      <c r="AE50" s="148"/>
      <c r="AF50" s="148"/>
      <c r="AG50" s="151"/>
      <c r="AH50" s="148"/>
      <c r="AI50" s="150"/>
    </row>
    <row r="51" spans="1:35" ht="15.75">
      <c r="A51" s="563" t="s">
        <v>656</v>
      </c>
      <c r="B51" s="28" t="s">
        <v>659</v>
      </c>
      <c r="C51" s="88"/>
      <c r="D51" s="88"/>
      <c r="E51" s="88"/>
      <c r="F51" s="88"/>
      <c r="G51" s="146">
        <v>1990</v>
      </c>
      <c r="H51" s="20" t="s">
        <v>805</v>
      </c>
      <c r="I51" s="146">
        <v>0</v>
      </c>
      <c r="J51" s="30">
        <v>0</v>
      </c>
      <c r="K51" s="146"/>
      <c r="L51" s="146"/>
      <c r="M51" s="146"/>
      <c r="N51" s="146"/>
      <c r="O51" s="30"/>
      <c r="P51" s="146"/>
      <c r="Q51" s="32">
        <f>'приложение 1.1'!I52</f>
        <v>10.379999999999999</v>
      </c>
      <c r="R51" s="77">
        <v>0.29</v>
      </c>
      <c r="S51" s="77">
        <f t="shared" si="0"/>
        <v>3.5</v>
      </c>
      <c r="T51" s="147">
        <f>ROUND((9826+741615+47037+218471)/1000000*4.62,2)</f>
        <v>4.7</v>
      </c>
      <c r="U51" s="77">
        <f>ROUND((2980+1885772)/1000000,2)</f>
        <v>1.89</v>
      </c>
      <c r="V51" s="148"/>
      <c r="W51" s="148"/>
      <c r="X51" s="148"/>
      <c r="Y51" s="148"/>
      <c r="Z51" s="146">
        <v>2018</v>
      </c>
      <c r="AA51" s="146" t="s">
        <v>805</v>
      </c>
      <c r="AB51" s="146">
        <v>0</v>
      </c>
      <c r="AC51" s="30">
        <v>0</v>
      </c>
      <c r="AD51" s="148"/>
      <c r="AE51" s="148"/>
      <c r="AF51" s="148"/>
      <c r="AG51" s="151"/>
      <c r="AH51" s="148"/>
      <c r="AI51" s="150"/>
    </row>
    <row r="52" spans="1:35" ht="15.75">
      <c r="A52" s="563" t="s">
        <v>658</v>
      </c>
      <c r="B52" s="28" t="s">
        <v>661</v>
      </c>
      <c r="C52" s="88"/>
      <c r="D52" s="88"/>
      <c r="E52" s="88"/>
      <c r="F52" s="88"/>
      <c r="G52" s="146">
        <v>1989</v>
      </c>
      <c r="H52" s="20" t="s">
        <v>805</v>
      </c>
      <c r="I52" s="146" t="s">
        <v>806</v>
      </c>
      <c r="J52" s="30"/>
      <c r="K52" s="146"/>
      <c r="L52" s="146"/>
      <c r="M52" s="146"/>
      <c r="N52" s="146"/>
      <c r="O52" s="30"/>
      <c r="P52" s="146"/>
      <c r="Q52" s="32">
        <f>'приложение 1.1'!I53</f>
        <v>1.061</v>
      </c>
      <c r="R52" s="77">
        <v>0.051</v>
      </c>
      <c r="S52" s="77">
        <f t="shared" si="0"/>
        <v>0.17999999999999994</v>
      </c>
      <c r="T52" s="147">
        <f>ROUND((207+62355)/1000000*8.97,2)</f>
        <v>0.56</v>
      </c>
      <c r="U52" s="77">
        <f>ROUND((272904)/1000000,2)</f>
        <v>0.27</v>
      </c>
      <c r="V52" s="148"/>
      <c r="W52" s="148"/>
      <c r="X52" s="148"/>
      <c r="Y52" s="148"/>
      <c r="Z52" s="146">
        <v>2018</v>
      </c>
      <c r="AA52" s="146" t="s">
        <v>805</v>
      </c>
      <c r="AB52" s="146" t="s">
        <v>806</v>
      </c>
      <c r="AC52" s="30"/>
      <c r="AD52" s="148"/>
      <c r="AE52" s="148"/>
      <c r="AF52" s="148"/>
      <c r="AG52" s="151"/>
      <c r="AH52" s="148"/>
      <c r="AI52" s="150"/>
    </row>
    <row r="53" spans="1:35" ht="15.75">
      <c r="A53" s="563" t="s">
        <v>660</v>
      </c>
      <c r="B53" s="28" t="s">
        <v>663</v>
      </c>
      <c r="C53" s="88"/>
      <c r="D53" s="88"/>
      <c r="E53" s="88"/>
      <c r="F53" s="88"/>
      <c r="G53" s="146">
        <v>1989</v>
      </c>
      <c r="H53" s="20" t="s">
        <v>805</v>
      </c>
      <c r="I53" s="146" t="s">
        <v>806</v>
      </c>
      <c r="J53" s="30"/>
      <c r="K53" s="146"/>
      <c r="L53" s="146"/>
      <c r="M53" s="146"/>
      <c r="N53" s="146"/>
      <c r="O53" s="30"/>
      <c r="P53" s="146"/>
      <c r="Q53" s="32">
        <f>'приложение 1.1'!I54</f>
        <v>1.061</v>
      </c>
      <c r="R53" s="77">
        <v>0.051</v>
      </c>
      <c r="S53" s="77">
        <f t="shared" si="0"/>
        <v>0.17999999999999994</v>
      </c>
      <c r="T53" s="147">
        <f>ROUND((207+62355)/1000000*8.97,2)</f>
        <v>0.56</v>
      </c>
      <c r="U53" s="77">
        <f>ROUND((272904)/1000000,2)</f>
        <v>0.27</v>
      </c>
      <c r="V53" s="148"/>
      <c r="W53" s="148"/>
      <c r="X53" s="148"/>
      <c r="Y53" s="148"/>
      <c r="Z53" s="146">
        <v>2018</v>
      </c>
      <c r="AA53" s="146" t="s">
        <v>805</v>
      </c>
      <c r="AB53" s="146" t="s">
        <v>806</v>
      </c>
      <c r="AC53" s="30"/>
      <c r="AD53" s="148"/>
      <c r="AE53" s="148"/>
      <c r="AF53" s="148"/>
      <c r="AG53" s="151"/>
      <c r="AH53" s="148"/>
      <c r="AI53" s="150"/>
    </row>
    <row r="54" spans="1:35" ht="15.75">
      <c r="A54" s="563" t="s">
        <v>662</v>
      </c>
      <c r="B54" s="28" t="s">
        <v>665</v>
      </c>
      <c r="C54" s="88"/>
      <c r="D54" s="88"/>
      <c r="E54" s="88"/>
      <c r="F54" s="88"/>
      <c r="G54" s="146">
        <v>1992</v>
      </c>
      <c r="H54" s="20" t="s">
        <v>805</v>
      </c>
      <c r="I54" s="146" t="s">
        <v>806</v>
      </c>
      <c r="J54" s="30">
        <v>2</v>
      </c>
      <c r="K54" s="146"/>
      <c r="L54" s="146"/>
      <c r="M54" s="146"/>
      <c r="N54" s="146"/>
      <c r="O54" s="30"/>
      <c r="P54" s="146"/>
      <c r="Q54" s="32">
        <f>'приложение 1.1'!I55</f>
        <v>1.6</v>
      </c>
      <c r="R54" s="77">
        <v>0.09</v>
      </c>
      <c r="S54" s="77">
        <f t="shared" si="0"/>
        <v>0.33000000000000007</v>
      </c>
      <c r="T54" s="147">
        <f>ROUND((100+128506)/1000000*8.94,2)</f>
        <v>1.15</v>
      </c>
      <c r="U54" s="77">
        <f>ROUND((26598)/1000000,2)</f>
        <v>0.03</v>
      </c>
      <c r="V54" s="148"/>
      <c r="W54" s="148"/>
      <c r="X54" s="148"/>
      <c r="Y54" s="148"/>
      <c r="Z54" s="146">
        <v>2018</v>
      </c>
      <c r="AA54" s="146" t="s">
        <v>805</v>
      </c>
      <c r="AB54" s="146" t="s">
        <v>806</v>
      </c>
      <c r="AC54" s="30">
        <v>2</v>
      </c>
      <c r="AD54" s="148"/>
      <c r="AE54" s="148"/>
      <c r="AF54" s="148"/>
      <c r="AG54" s="151"/>
      <c r="AH54" s="148"/>
      <c r="AI54" s="150"/>
    </row>
    <row r="55" spans="1:35" ht="15.75">
      <c r="A55" s="563" t="s">
        <v>664</v>
      </c>
      <c r="B55" s="28" t="s">
        <v>667</v>
      </c>
      <c r="C55" s="88"/>
      <c r="D55" s="88"/>
      <c r="E55" s="88"/>
      <c r="F55" s="88"/>
      <c r="G55" s="146">
        <v>1993</v>
      </c>
      <c r="H55" s="20" t="s">
        <v>805</v>
      </c>
      <c r="I55" s="146" t="s">
        <v>806</v>
      </c>
      <c r="J55" s="30">
        <v>2</v>
      </c>
      <c r="K55" s="146"/>
      <c r="L55" s="146"/>
      <c r="M55" s="146"/>
      <c r="N55" s="146"/>
      <c r="O55" s="30"/>
      <c r="P55" s="146"/>
      <c r="Q55" s="32">
        <f>'приложение 1.1'!I56</f>
        <v>1.6</v>
      </c>
      <c r="R55" s="77">
        <v>0.091</v>
      </c>
      <c r="S55" s="77">
        <f t="shared" si="0"/>
        <v>0.3290000000000002</v>
      </c>
      <c r="T55" s="147">
        <f>ROUND((100+128506)/1000000*8.94,2)</f>
        <v>1.15</v>
      </c>
      <c r="U55" s="77">
        <f>ROUND((26598)/1000000,2)</f>
        <v>0.03</v>
      </c>
      <c r="V55" s="148"/>
      <c r="W55" s="148"/>
      <c r="X55" s="148"/>
      <c r="Y55" s="148"/>
      <c r="Z55" s="146">
        <v>2018</v>
      </c>
      <c r="AA55" s="146" t="s">
        <v>805</v>
      </c>
      <c r="AB55" s="146" t="s">
        <v>806</v>
      </c>
      <c r="AC55" s="30">
        <v>2</v>
      </c>
      <c r="AD55" s="148"/>
      <c r="AE55" s="148"/>
      <c r="AF55" s="148"/>
      <c r="AG55" s="151"/>
      <c r="AH55" s="148"/>
      <c r="AI55" s="150"/>
    </row>
    <row r="56" spans="1:35" ht="15.75">
      <c r="A56" s="563" t="s">
        <v>666</v>
      </c>
      <c r="B56" s="28" t="s">
        <v>669</v>
      </c>
      <c r="C56" s="88"/>
      <c r="D56" s="88"/>
      <c r="E56" s="88"/>
      <c r="F56" s="88"/>
      <c r="G56" s="146">
        <v>2000</v>
      </c>
      <c r="H56" s="20" t="s">
        <v>805</v>
      </c>
      <c r="I56" s="146" t="s">
        <v>808</v>
      </c>
      <c r="J56" s="30">
        <v>0.4</v>
      </c>
      <c r="K56" s="146"/>
      <c r="L56" s="146"/>
      <c r="M56" s="146"/>
      <c r="N56" s="146"/>
      <c r="O56" s="30"/>
      <c r="P56" s="146"/>
      <c r="Q56" s="32">
        <f>'приложение 1.1'!I57</f>
        <v>0.97</v>
      </c>
      <c r="R56" s="77">
        <v>0.1</v>
      </c>
      <c r="S56" s="77">
        <f t="shared" si="0"/>
        <v>0.21000000000000002</v>
      </c>
      <c r="T56" s="147">
        <f>ROUND((2310+129339)/1000000*4.62,2)</f>
        <v>0.61</v>
      </c>
      <c r="U56" s="77">
        <f>ROUND((54811)/1000000,2)</f>
        <v>0.05</v>
      </c>
      <c r="V56" s="148"/>
      <c r="W56" s="148"/>
      <c r="X56" s="148"/>
      <c r="Y56" s="148"/>
      <c r="Z56" s="146">
        <v>2018</v>
      </c>
      <c r="AA56" s="146" t="s">
        <v>805</v>
      </c>
      <c r="AB56" s="146" t="s">
        <v>808</v>
      </c>
      <c r="AC56" s="30">
        <v>0.4</v>
      </c>
      <c r="AD56" s="148"/>
      <c r="AE56" s="148"/>
      <c r="AF56" s="148"/>
      <c r="AG56" s="151"/>
      <c r="AH56" s="148"/>
      <c r="AI56" s="150"/>
    </row>
    <row r="57" spans="1:35" ht="15.75">
      <c r="A57" s="563" t="s">
        <v>668</v>
      </c>
      <c r="B57" s="28" t="s">
        <v>671</v>
      </c>
      <c r="C57" s="88"/>
      <c r="D57" s="88"/>
      <c r="E57" s="88"/>
      <c r="F57" s="88"/>
      <c r="G57" s="146">
        <v>1986</v>
      </c>
      <c r="H57" s="20" t="s">
        <v>805</v>
      </c>
      <c r="I57" s="146" t="s">
        <v>808</v>
      </c>
      <c r="J57" s="30">
        <v>0.4</v>
      </c>
      <c r="K57" s="146"/>
      <c r="L57" s="146"/>
      <c r="M57" s="146"/>
      <c r="N57" s="146"/>
      <c r="O57" s="30"/>
      <c r="P57" s="146"/>
      <c r="Q57" s="32">
        <f>'приложение 1.1'!I58</f>
        <v>0.9259999999999999</v>
      </c>
      <c r="R57" s="77">
        <v>0.096</v>
      </c>
      <c r="S57" s="77">
        <f t="shared" si="0"/>
        <v>0.19</v>
      </c>
      <c r="T57" s="147">
        <f>ROUND((647+126568)/1000000*4.62,2)</f>
        <v>0.59</v>
      </c>
      <c r="U57" s="77">
        <f>ROUND((49720)/1000000,2)</f>
        <v>0.05</v>
      </c>
      <c r="V57" s="148"/>
      <c r="W57" s="148"/>
      <c r="X57" s="148"/>
      <c r="Y57" s="148"/>
      <c r="Z57" s="146">
        <v>2018</v>
      </c>
      <c r="AA57" s="146" t="s">
        <v>805</v>
      </c>
      <c r="AB57" s="146" t="s">
        <v>808</v>
      </c>
      <c r="AC57" s="30">
        <v>0.4</v>
      </c>
      <c r="AD57" s="148"/>
      <c r="AE57" s="148"/>
      <c r="AF57" s="148"/>
      <c r="AG57" s="151"/>
      <c r="AH57" s="148"/>
      <c r="AI57" s="150"/>
    </row>
    <row r="58" spans="1:35" ht="15.75">
      <c r="A58" s="563" t="s">
        <v>670</v>
      </c>
      <c r="B58" s="28" t="s">
        <v>673</v>
      </c>
      <c r="C58" s="88"/>
      <c r="D58" s="88"/>
      <c r="E58" s="88"/>
      <c r="F58" s="88"/>
      <c r="G58" s="146">
        <v>1986</v>
      </c>
      <c r="H58" s="20" t="s">
        <v>805</v>
      </c>
      <c r="I58" s="146" t="s">
        <v>808</v>
      </c>
      <c r="J58" s="30">
        <v>0.25</v>
      </c>
      <c r="K58" s="146"/>
      <c r="L58" s="146"/>
      <c r="M58" s="146"/>
      <c r="N58" s="146"/>
      <c r="O58" s="30"/>
      <c r="P58" s="146"/>
      <c r="Q58" s="32">
        <f>'приложение 1.1'!I59</f>
        <v>0.8029999999999999</v>
      </c>
      <c r="R58" s="77">
        <v>0.08</v>
      </c>
      <c r="S58" s="77">
        <f t="shared" si="0"/>
        <v>0.203</v>
      </c>
      <c r="T58" s="147">
        <f>ROUND((2346+99332)/1000000*4.62,2)</f>
        <v>0.47</v>
      </c>
      <c r="U58" s="77">
        <f>ROUND((50914)/1000000,2)</f>
        <v>0.05</v>
      </c>
      <c r="V58" s="148"/>
      <c r="W58" s="148"/>
      <c r="X58" s="148"/>
      <c r="Y58" s="148"/>
      <c r="Z58" s="146">
        <v>2018</v>
      </c>
      <c r="AA58" s="146" t="s">
        <v>805</v>
      </c>
      <c r="AB58" s="146" t="s">
        <v>808</v>
      </c>
      <c r="AC58" s="30">
        <v>0.25</v>
      </c>
      <c r="AD58" s="148"/>
      <c r="AE58" s="148"/>
      <c r="AF58" s="148"/>
      <c r="AG58" s="151"/>
      <c r="AH58" s="148"/>
      <c r="AI58" s="150"/>
    </row>
    <row r="59" spans="1:35" ht="15.75">
      <c r="A59" s="563" t="s">
        <v>672</v>
      </c>
      <c r="B59" s="28" t="s">
        <v>675</v>
      </c>
      <c r="C59" s="88"/>
      <c r="D59" s="88"/>
      <c r="E59" s="88"/>
      <c r="F59" s="88"/>
      <c r="G59" s="146">
        <v>1991</v>
      </c>
      <c r="H59" s="20" t="s">
        <v>805</v>
      </c>
      <c r="I59" s="146" t="s">
        <v>808</v>
      </c>
      <c r="J59" s="30">
        <v>0.4</v>
      </c>
      <c r="K59" s="146"/>
      <c r="L59" s="146"/>
      <c r="M59" s="146"/>
      <c r="N59" s="146"/>
      <c r="O59" s="30"/>
      <c r="P59" s="146"/>
      <c r="Q59" s="32">
        <f>'приложение 1.1'!I60</f>
        <v>1.07</v>
      </c>
      <c r="R59" s="77">
        <v>0.06</v>
      </c>
      <c r="S59" s="77">
        <f t="shared" si="0"/>
        <v>0.22</v>
      </c>
      <c r="T59" s="147">
        <f>ROUND((170+86120)/1000000*8.94,2)</f>
        <v>0.77</v>
      </c>
      <c r="U59" s="77">
        <f>ROUND((19166)/1000000,2)</f>
        <v>0.02</v>
      </c>
      <c r="V59" s="148"/>
      <c r="W59" s="148"/>
      <c r="X59" s="148"/>
      <c r="Y59" s="148"/>
      <c r="Z59" s="146">
        <v>2018</v>
      </c>
      <c r="AA59" s="146" t="s">
        <v>805</v>
      </c>
      <c r="AB59" s="146" t="s">
        <v>808</v>
      </c>
      <c r="AC59" s="30">
        <v>0.63</v>
      </c>
      <c r="AD59" s="148"/>
      <c r="AE59" s="148"/>
      <c r="AF59" s="148"/>
      <c r="AG59" s="151"/>
      <c r="AH59" s="148"/>
      <c r="AI59" s="150"/>
    </row>
    <row r="60" spans="1:35" ht="31.5">
      <c r="A60" s="563" t="s">
        <v>674</v>
      </c>
      <c r="B60" s="28" t="s">
        <v>677</v>
      </c>
      <c r="C60" s="88"/>
      <c r="D60" s="88"/>
      <c r="E60" s="88"/>
      <c r="F60" s="88"/>
      <c r="G60" s="146"/>
      <c r="H60" s="146"/>
      <c r="I60" s="146"/>
      <c r="J60" s="31"/>
      <c r="K60" s="146">
        <v>1998</v>
      </c>
      <c r="L60" s="146" t="s">
        <v>798</v>
      </c>
      <c r="M60" s="146"/>
      <c r="N60" s="146" t="s">
        <v>818</v>
      </c>
      <c r="O60" s="31">
        <v>0.34</v>
      </c>
      <c r="P60" s="146"/>
      <c r="Q60" s="32">
        <f>'приложение 1.1'!I61</f>
        <v>0.40399999999999997</v>
      </c>
      <c r="R60" s="77">
        <v>0.054</v>
      </c>
      <c r="S60" s="77">
        <f t="shared" si="0"/>
        <v>0.24</v>
      </c>
      <c r="T60" s="147">
        <f>ROUND((29618)/1000000*3.75,2)</f>
        <v>0.11</v>
      </c>
      <c r="U60" s="77">
        <f>ROUND((4493)/1000000,2)</f>
        <v>0</v>
      </c>
      <c r="V60" s="148"/>
      <c r="W60" s="148"/>
      <c r="X60" s="148"/>
      <c r="Y60" s="148"/>
      <c r="Z60" s="148"/>
      <c r="AA60" s="148"/>
      <c r="AB60" s="148"/>
      <c r="AC60" s="148"/>
      <c r="AD60" s="146">
        <v>2018</v>
      </c>
      <c r="AE60" s="146" t="s">
        <v>798</v>
      </c>
      <c r="AF60" s="148"/>
      <c r="AG60" s="151" t="s">
        <v>819</v>
      </c>
      <c r="AH60" s="149">
        <v>0.34</v>
      </c>
      <c r="AI60" s="150"/>
    </row>
    <row r="61" spans="1:35" ht="31.5">
      <c r="A61" s="563" t="s">
        <v>676</v>
      </c>
      <c r="B61" s="40" t="s">
        <v>679</v>
      </c>
      <c r="C61" s="88"/>
      <c r="D61" s="88"/>
      <c r="E61" s="88"/>
      <c r="F61" s="88"/>
      <c r="G61" s="146"/>
      <c r="H61" s="146"/>
      <c r="I61" s="146"/>
      <c r="J61" s="31"/>
      <c r="K61" s="146">
        <v>1984</v>
      </c>
      <c r="L61" s="146" t="s">
        <v>798</v>
      </c>
      <c r="M61" s="146"/>
      <c r="N61" s="146" t="s">
        <v>818</v>
      </c>
      <c r="O61" s="31">
        <v>0.05</v>
      </c>
      <c r="P61" s="146"/>
      <c r="Q61" s="32">
        <f>'приложение 1.1'!I62</f>
        <v>0.127</v>
      </c>
      <c r="R61" s="77">
        <v>0.017</v>
      </c>
      <c r="S61" s="77">
        <f t="shared" si="0"/>
        <v>0.08</v>
      </c>
      <c r="T61" s="147">
        <f>ROUND((7584)/1000000*3.75,2)</f>
        <v>0.03</v>
      </c>
      <c r="U61" s="77">
        <f>ROUND((4493)/1000000,2)</f>
        <v>0</v>
      </c>
      <c r="V61" s="148"/>
      <c r="W61" s="148"/>
      <c r="X61" s="148"/>
      <c r="Y61" s="148"/>
      <c r="Z61" s="148"/>
      <c r="AA61" s="148"/>
      <c r="AB61" s="148"/>
      <c r="AC61" s="148"/>
      <c r="AD61" s="146">
        <v>2018</v>
      </c>
      <c r="AE61" s="146" t="s">
        <v>798</v>
      </c>
      <c r="AF61" s="148"/>
      <c r="AG61" s="151" t="s">
        <v>819</v>
      </c>
      <c r="AH61" s="149">
        <v>0.05</v>
      </c>
      <c r="AI61" s="150"/>
    </row>
    <row r="62" spans="1:35" ht="31.5">
      <c r="A62" s="563" t="s">
        <v>678</v>
      </c>
      <c r="B62" s="40" t="s">
        <v>681</v>
      </c>
      <c r="C62" s="88"/>
      <c r="D62" s="88"/>
      <c r="E62" s="88"/>
      <c r="F62" s="88"/>
      <c r="G62" s="146"/>
      <c r="H62" s="146"/>
      <c r="I62" s="146"/>
      <c r="J62" s="31"/>
      <c r="K62" s="146">
        <v>1988</v>
      </c>
      <c r="L62" s="146" t="s">
        <v>798</v>
      </c>
      <c r="M62" s="146"/>
      <c r="N62" s="146" t="s">
        <v>820</v>
      </c>
      <c r="O62" s="31">
        <v>0.04</v>
      </c>
      <c r="P62" s="146"/>
      <c r="Q62" s="32">
        <f>'приложение 1.1'!I63</f>
        <v>0.3</v>
      </c>
      <c r="R62" s="77">
        <v>0.04</v>
      </c>
      <c r="S62" s="77">
        <f t="shared" si="0"/>
        <v>0.16999999999999998</v>
      </c>
      <c r="T62" s="147">
        <f>ROUND((22319)/1000000*3.75,2)</f>
        <v>0.08</v>
      </c>
      <c r="U62" s="77">
        <f>ROUND((8954)/1000000,2)</f>
        <v>0.01</v>
      </c>
      <c r="V62" s="148"/>
      <c r="W62" s="148"/>
      <c r="X62" s="148"/>
      <c r="Y62" s="148"/>
      <c r="Z62" s="148"/>
      <c r="AA62" s="148"/>
      <c r="AB62" s="148"/>
      <c r="AC62" s="148"/>
      <c r="AD62" s="146">
        <v>2018</v>
      </c>
      <c r="AE62" s="146" t="s">
        <v>798</v>
      </c>
      <c r="AF62" s="148"/>
      <c r="AG62" s="151" t="s">
        <v>814</v>
      </c>
      <c r="AH62" s="149">
        <v>0.04</v>
      </c>
      <c r="AI62" s="150"/>
    </row>
    <row r="63" spans="1:35" ht="31.5">
      <c r="A63" s="563" t="s">
        <v>680</v>
      </c>
      <c r="B63" s="40" t="s">
        <v>683</v>
      </c>
      <c r="C63" s="88"/>
      <c r="D63" s="88"/>
      <c r="E63" s="88"/>
      <c r="F63" s="88"/>
      <c r="G63" s="146"/>
      <c r="H63" s="146"/>
      <c r="I63" s="146"/>
      <c r="J63" s="31"/>
      <c r="K63" s="146">
        <v>1990</v>
      </c>
      <c r="L63" s="146" t="s">
        <v>798</v>
      </c>
      <c r="M63" s="146"/>
      <c r="N63" s="146" t="s">
        <v>816</v>
      </c>
      <c r="O63" s="31">
        <v>0.16</v>
      </c>
      <c r="P63" s="146"/>
      <c r="Q63" s="32">
        <f>'приложение 1.1'!I64</f>
        <v>0.265</v>
      </c>
      <c r="R63" s="77">
        <v>0.035</v>
      </c>
      <c r="S63" s="77">
        <f t="shared" si="0"/>
        <v>0.14</v>
      </c>
      <c r="T63" s="147">
        <f>ROUND((24365)/1000000*3.75,2)</f>
        <v>0.09</v>
      </c>
      <c r="U63" s="77">
        <f>ROUND((4493)/1000000,2)</f>
        <v>0</v>
      </c>
      <c r="V63" s="148"/>
      <c r="W63" s="148"/>
      <c r="X63" s="148"/>
      <c r="Y63" s="148"/>
      <c r="Z63" s="148"/>
      <c r="AA63" s="148"/>
      <c r="AB63" s="148"/>
      <c r="AC63" s="148"/>
      <c r="AD63" s="146">
        <v>2018</v>
      </c>
      <c r="AE63" s="146" t="s">
        <v>798</v>
      </c>
      <c r="AF63" s="148"/>
      <c r="AG63" s="151" t="s">
        <v>812</v>
      </c>
      <c r="AH63" s="149">
        <v>0.16</v>
      </c>
      <c r="AI63" s="150"/>
    </row>
    <row r="64" spans="1:35" ht="31.5">
      <c r="A64" s="563" t="s">
        <v>682</v>
      </c>
      <c r="B64" s="40" t="s">
        <v>685</v>
      </c>
      <c r="C64" s="88"/>
      <c r="D64" s="88"/>
      <c r="E64" s="88"/>
      <c r="F64" s="88"/>
      <c r="G64" s="146"/>
      <c r="H64" s="146"/>
      <c r="I64" s="146"/>
      <c r="J64" s="30"/>
      <c r="K64" s="146">
        <v>1990</v>
      </c>
      <c r="L64" s="146" t="s">
        <v>798</v>
      </c>
      <c r="M64" s="146"/>
      <c r="N64" s="146" t="s">
        <v>816</v>
      </c>
      <c r="O64" s="30">
        <v>0.42</v>
      </c>
      <c r="P64" s="146"/>
      <c r="Q64" s="32">
        <f>'приложение 1.1'!I65</f>
        <v>0.693</v>
      </c>
      <c r="R64" s="77">
        <v>0.093</v>
      </c>
      <c r="S64" s="77">
        <f t="shared" si="0"/>
        <v>0.33999999999999997</v>
      </c>
      <c r="T64" s="147">
        <f>ROUND((68739)/1000000*3.75,2)</f>
        <v>0.26</v>
      </c>
      <c r="U64" s="77">
        <f>ROUND((4493)/1000000,2)</f>
        <v>0</v>
      </c>
      <c r="V64" s="148"/>
      <c r="W64" s="148"/>
      <c r="X64" s="148"/>
      <c r="Y64" s="148"/>
      <c r="Z64" s="148"/>
      <c r="AA64" s="148"/>
      <c r="AB64" s="148"/>
      <c r="AC64" s="148"/>
      <c r="AD64" s="146">
        <v>2018</v>
      </c>
      <c r="AE64" s="146" t="s">
        <v>798</v>
      </c>
      <c r="AF64" s="148"/>
      <c r="AG64" s="151" t="s">
        <v>812</v>
      </c>
      <c r="AH64" s="149">
        <v>0.42</v>
      </c>
      <c r="AI64" s="150"/>
    </row>
    <row r="65" spans="1:35" s="3" customFormat="1" ht="31.5">
      <c r="A65" s="563" t="s">
        <v>684</v>
      </c>
      <c r="B65" s="43" t="s">
        <v>687</v>
      </c>
      <c r="C65" s="88"/>
      <c r="D65" s="88"/>
      <c r="E65" s="88"/>
      <c r="F65" s="88"/>
      <c r="G65" s="76"/>
      <c r="H65" s="76"/>
      <c r="I65" s="76"/>
      <c r="J65" s="29"/>
      <c r="K65" s="76">
        <v>1981</v>
      </c>
      <c r="L65" s="76" t="s">
        <v>798</v>
      </c>
      <c r="M65" s="76" t="s">
        <v>821</v>
      </c>
      <c r="N65" s="76" t="s">
        <v>800</v>
      </c>
      <c r="O65" s="29">
        <v>0.69</v>
      </c>
      <c r="P65" s="76"/>
      <c r="Q65" s="46">
        <f>'[1]приложение 1.1'!H67</f>
        <v>9.920000000000002</v>
      </c>
      <c r="R65" s="156">
        <v>2.053</v>
      </c>
      <c r="S65" s="77">
        <f t="shared" si="0"/>
        <v>3.847000000000002</v>
      </c>
      <c r="T65" s="147">
        <f>ROUND((514436+305700)/1000000*4.89,2)</f>
        <v>4.01</v>
      </c>
      <c r="U65" s="77">
        <f>ROUND((12615)/1000000,2)</f>
        <v>0.01</v>
      </c>
      <c r="V65" s="157"/>
      <c r="W65" s="157"/>
      <c r="X65" s="157"/>
      <c r="Y65" s="157"/>
      <c r="Z65" s="157"/>
      <c r="AA65" s="157"/>
      <c r="AB65" s="157"/>
      <c r="AC65" s="157"/>
      <c r="AD65" s="45">
        <v>2019</v>
      </c>
      <c r="AE65" s="158" t="s">
        <v>798</v>
      </c>
      <c r="AF65" s="158" t="s">
        <v>822</v>
      </c>
      <c r="AG65" s="567" t="s">
        <v>217</v>
      </c>
      <c r="AH65" s="158">
        <v>0.69</v>
      </c>
      <c r="AI65" s="159"/>
    </row>
    <row r="66" spans="1:35" ht="31.5">
      <c r="A66" s="563" t="s">
        <v>686</v>
      </c>
      <c r="B66" s="43" t="s">
        <v>689</v>
      </c>
      <c r="C66" s="88"/>
      <c r="D66" s="88"/>
      <c r="E66" s="88"/>
      <c r="F66" s="88"/>
      <c r="G66" s="146"/>
      <c r="H66" s="146"/>
      <c r="I66" s="146"/>
      <c r="J66" s="30"/>
      <c r="K66" s="146">
        <v>1985</v>
      </c>
      <c r="L66" s="146" t="s">
        <v>798</v>
      </c>
      <c r="M66" s="146" t="s">
        <v>823</v>
      </c>
      <c r="N66" s="146" t="s">
        <v>800</v>
      </c>
      <c r="O66" s="30"/>
      <c r="P66" s="146"/>
      <c r="Q66" s="32">
        <f>'[1]приложение 1.1'!H68</f>
        <v>2.572</v>
      </c>
      <c r="R66" s="156">
        <v>1.002</v>
      </c>
      <c r="S66" s="77">
        <f t="shared" si="0"/>
        <v>0.77</v>
      </c>
      <c r="T66" s="147">
        <f>ROUND((163992)/1000000*4.89,2)</f>
        <v>0.8</v>
      </c>
      <c r="U66" s="77">
        <f>ROUND((2470)/1000000,2)</f>
        <v>0</v>
      </c>
      <c r="V66" s="148"/>
      <c r="W66" s="148"/>
      <c r="X66" s="148"/>
      <c r="Y66" s="148"/>
      <c r="Z66" s="148"/>
      <c r="AA66" s="148"/>
      <c r="AB66" s="148"/>
      <c r="AC66" s="148"/>
      <c r="AD66" s="31">
        <v>2019</v>
      </c>
      <c r="AE66" s="149" t="s">
        <v>798</v>
      </c>
      <c r="AF66" s="149" t="s">
        <v>824</v>
      </c>
      <c r="AG66" s="149" t="s">
        <v>800</v>
      </c>
      <c r="AH66" s="149"/>
      <c r="AI66" s="150"/>
    </row>
    <row r="67" spans="1:35" ht="31.5">
      <c r="A67" s="563" t="s">
        <v>688</v>
      </c>
      <c r="B67" s="43" t="s">
        <v>691</v>
      </c>
      <c r="C67" s="88"/>
      <c r="D67" s="88"/>
      <c r="E67" s="88"/>
      <c r="F67" s="88"/>
      <c r="G67" s="146"/>
      <c r="H67" s="146"/>
      <c r="I67" s="146"/>
      <c r="J67" s="30"/>
      <c r="K67" s="146">
        <v>1990</v>
      </c>
      <c r="L67" s="146" t="s">
        <v>798</v>
      </c>
      <c r="M67" s="146" t="s">
        <v>821</v>
      </c>
      <c r="N67" s="146" t="s">
        <v>800</v>
      </c>
      <c r="O67" s="30">
        <v>2.99</v>
      </c>
      <c r="P67" s="146"/>
      <c r="Q67" s="32">
        <f>'[1]приложение 1.1'!H69</f>
        <v>4.5600000000000005</v>
      </c>
      <c r="R67" s="156"/>
      <c r="S67" s="77">
        <f t="shared" si="0"/>
        <v>1.9400000000000006</v>
      </c>
      <c r="T67" s="147">
        <f>ROUND((292135)/1000000*8.94,2)</f>
        <v>2.61</v>
      </c>
      <c r="U67" s="77">
        <f>ROUND((9374)/1000000,2)</f>
        <v>0.01</v>
      </c>
      <c r="V67" s="148"/>
      <c r="W67" s="148"/>
      <c r="X67" s="148"/>
      <c r="Y67" s="148"/>
      <c r="Z67" s="148"/>
      <c r="AA67" s="148"/>
      <c r="AB67" s="148"/>
      <c r="AC67" s="148"/>
      <c r="AD67" s="31">
        <v>2019</v>
      </c>
      <c r="AE67" s="149" t="s">
        <v>798</v>
      </c>
      <c r="AF67" s="146" t="s">
        <v>821</v>
      </c>
      <c r="AG67" s="146" t="s">
        <v>825</v>
      </c>
      <c r="AH67" s="149">
        <v>2.99</v>
      </c>
      <c r="AI67" s="150"/>
    </row>
    <row r="68" spans="1:35" ht="31.5">
      <c r="A68" s="563" t="s">
        <v>690</v>
      </c>
      <c r="B68" s="43" t="s">
        <v>693</v>
      </c>
      <c r="C68" s="88"/>
      <c r="D68" s="88"/>
      <c r="E68" s="88"/>
      <c r="F68" s="88"/>
      <c r="G68" s="146"/>
      <c r="H68" s="146"/>
      <c r="I68" s="146"/>
      <c r="J68" s="30"/>
      <c r="K68" s="146">
        <v>1991</v>
      </c>
      <c r="L68" s="146" t="s">
        <v>798</v>
      </c>
      <c r="M68" s="146" t="s">
        <v>826</v>
      </c>
      <c r="N68" s="146" t="s">
        <v>800</v>
      </c>
      <c r="O68" s="30"/>
      <c r="P68" s="146"/>
      <c r="Q68" s="32">
        <f>'[1]приложение 1.1'!H70</f>
        <v>4.928</v>
      </c>
      <c r="R68" s="156">
        <v>1.058</v>
      </c>
      <c r="S68" s="77">
        <f t="shared" si="0"/>
        <v>1.0200000000000002</v>
      </c>
      <c r="T68" s="147">
        <f>ROUND((122626+253696)/1000000*7.43,2)</f>
        <v>2.8</v>
      </c>
      <c r="U68" s="77">
        <f>ROUND((11233+38468)/1000000,2)</f>
        <v>0.05</v>
      </c>
      <c r="V68" s="148"/>
      <c r="W68" s="148"/>
      <c r="X68" s="148"/>
      <c r="Y68" s="148"/>
      <c r="Z68" s="148"/>
      <c r="AA68" s="148"/>
      <c r="AB68" s="148"/>
      <c r="AC68" s="148"/>
      <c r="AD68" s="31">
        <v>2019</v>
      </c>
      <c r="AE68" s="149" t="s">
        <v>798</v>
      </c>
      <c r="AF68" s="146" t="s">
        <v>801</v>
      </c>
      <c r="AG68" s="146" t="s">
        <v>800</v>
      </c>
      <c r="AH68" s="149"/>
      <c r="AI68" s="150"/>
    </row>
    <row r="69" spans="1:35" ht="31.5">
      <c r="A69" s="563" t="s">
        <v>692</v>
      </c>
      <c r="B69" s="49" t="s">
        <v>695</v>
      </c>
      <c r="C69" s="88"/>
      <c r="D69" s="88"/>
      <c r="E69" s="88"/>
      <c r="F69" s="88"/>
      <c r="G69" s="146"/>
      <c r="H69" s="146"/>
      <c r="I69" s="146"/>
      <c r="J69" s="30"/>
      <c r="K69" s="146">
        <v>2003</v>
      </c>
      <c r="L69" s="146" t="s">
        <v>798</v>
      </c>
      <c r="M69" s="20" t="s">
        <v>802</v>
      </c>
      <c r="N69" s="146" t="s">
        <v>800</v>
      </c>
      <c r="O69" s="30"/>
      <c r="P69" s="146"/>
      <c r="Q69" s="32">
        <f>'[1]приложение 1.1'!H71</f>
        <v>1.27</v>
      </c>
      <c r="R69" s="156">
        <v>0.095</v>
      </c>
      <c r="S69" s="77">
        <f t="shared" si="0"/>
        <v>0.20500000000000007</v>
      </c>
      <c r="T69" s="147">
        <f>ROUND((141227+3132)/1000000*5.03,2)</f>
        <v>0.73</v>
      </c>
      <c r="U69" s="77">
        <f>ROUND((241130)/1000000,2)</f>
        <v>0.24</v>
      </c>
      <c r="V69" s="148"/>
      <c r="W69" s="148"/>
      <c r="X69" s="148"/>
      <c r="Y69" s="148"/>
      <c r="Z69" s="148"/>
      <c r="AA69" s="148"/>
      <c r="AB69" s="148"/>
      <c r="AC69" s="148"/>
      <c r="AD69" s="31">
        <v>2019</v>
      </c>
      <c r="AE69" s="149" t="s">
        <v>798</v>
      </c>
      <c r="AF69" s="20" t="s">
        <v>802</v>
      </c>
      <c r="AG69" s="149" t="s">
        <v>800</v>
      </c>
      <c r="AH69" s="149"/>
      <c r="AI69" s="150"/>
    </row>
    <row r="70" spans="1:35" ht="15.75">
      <c r="A70" s="563" t="s">
        <v>694</v>
      </c>
      <c r="B70" s="49" t="s">
        <v>697</v>
      </c>
      <c r="C70" s="88"/>
      <c r="D70" s="88"/>
      <c r="E70" s="88"/>
      <c r="F70" s="88"/>
      <c r="G70" s="146">
        <v>1984</v>
      </c>
      <c r="H70" s="146" t="s">
        <v>805</v>
      </c>
      <c r="I70" s="564" t="s">
        <v>806</v>
      </c>
      <c r="J70" s="30"/>
      <c r="K70" s="146"/>
      <c r="L70" s="146"/>
      <c r="M70" s="146"/>
      <c r="N70" s="146"/>
      <c r="O70" s="30"/>
      <c r="P70" s="146"/>
      <c r="Q70" s="32">
        <f>'[1]приложение 1.1'!H72</f>
        <v>30.494999999999997</v>
      </c>
      <c r="R70" s="77">
        <v>0.586</v>
      </c>
      <c r="S70" s="77">
        <f t="shared" si="0"/>
        <v>13.629</v>
      </c>
      <c r="T70" s="147">
        <f>ROUND((2759278+50868)/1000000*4.73,2)</f>
        <v>13.29</v>
      </c>
      <c r="U70" s="77">
        <f>ROUND((2994179)/1000000,2)</f>
        <v>2.99</v>
      </c>
      <c r="V70" s="148"/>
      <c r="W70" s="148"/>
      <c r="X70" s="148"/>
      <c r="Y70" s="148"/>
      <c r="Z70" s="31">
        <v>2019</v>
      </c>
      <c r="AA70" s="146" t="s">
        <v>805</v>
      </c>
      <c r="AB70" s="564" t="s">
        <v>806</v>
      </c>
      <c r="AC70" s="30"/>
      <c r="AD70" s="31"/>
      <c r="AE70" s="148"/>
      <c r="AF70" s="148"/>
      <c r="AG70" s="148"/>
      <c r="AH70" s="148"/>
      <c r="AI70" s="150"/>
    </row>
    <row r="71" spans="1:35" ht="15.75">
      <c r="A71" s="563" t="s">
        <v>696</v>
      </c>
      <c r="B71" s="49" t="s">
        <v>699</v>
      </c>
      <c r="C71" s="88"/>
      <c r="D71" s="88"/>
      <c r="E71" s="88"/>
      <c r="F71" s="88"/>
      <c r="G71" s="146">
        <v>1987</v>
      </c>
      <c r="H71" s="146" t="s">
        <v>805</v>
      </c>
      <c r="I71" s="146" t="s">
        <v>806</v>
      </c>
      <c r="J71" s="30"/>
      <c r="K71" s="146"/>
      <c r="L71" s="146"/>
      <c r="M71" s="146"/>
      <c r="N71" s="146"/>
      <c r="O71" s="30"/>
      <c r="P71" s="146"/>
      <c r="Q71" s="32">
        <f>'[1]приложение 1.1'!H73</f>
        <v>8.495999999999999</v>
      </c>
      <c r="R71" s="77">
        <v>0.46900000000000003</v>
      </c>
      <c r="S71" s="77">
        <f t="shared" si="0"/>
        <v>1.4869999999999992</v>
      </c>
      <c r="T71" s="147">
        <f>ROUND((695350+1389)/1000000*8.97,2)</f>
        <v>6.25</v>
      </c>
      <c r="U71" s="77">
        <f>ROUND((285565)/1000000,2)</f>
        <v>0.29</v>
      </c>
      <c r="V71" s="148"/>
      <c r="W71" s="148"/>
      <c r="X71" s="148"/>
      <c r="Y71" s="148"/>
      <c r="Z71" s="31">
        <v>2019</v>
      </c>
      <c r="AA71" s="146" t="s">
        <v>805</v>
      </c>
      <c r="AB71" s="146" t="s">
        <v>806</v>
      </c>
      <c r="AC71" s="30"/>
      <c r="AD71" s="31"/>
      <c r="AE71" s="148"/>
      <c r="AF71" s="148"/>
      <c r="AG71" s="148"/>
      <c r="AH71" s="148"/>
      <c r="AI71" s="150"/>
    </row>
    <row r="72" spans="1:35" ht="15.75">
      <c r="A72" s="563" t="s">
        <v>698</v>
      </c>
      <c r="B72" s="49" t="s">
        <v>701</v>
      </c>
      <c r="C72" s="88"/>
      <c r="D72" s="88"/>
      <c r="E72" s="88"/>
      <c r="F72" s="88"/>
      <c r="G72" s="146">
        <v>1990</v>
      </c>
      <c r="H72" s="146" t="s">
        <v>805</v>
      </c>
      <c r="I72" s="146" t="s">
        <v>806</v>
      </c>
      <c r="J72" s="30"/>
      <c r="K72" s="146"/>
      <c r="L72" s="146"/>
      <c r="M72" s="146"/>
      <c r="N72" s="146"/>
      <c r="O72" s="30"/>
      <c r="P72" s="146"/>
      <c r="Q72" s="32">
        <f>'[1]приложение 1.1'!H74</f>
        <v>19.917</v>
      </c>
      <c r="R72" s="77">
        <v>0.509</v>
      </c>
      <c r="S72" s="77">
        <f t="shared" si="0"/>
        <v>4.848000000000001</v>
      </c>
      <c r="T72" s="147">
        <f>ROUND((2615026+65933)/1000000*4.62,2)</f>
        <v>12.39</v>
      </c>
      <c r="U72" s="77">
        <f>ROUND((2165779)/1000000,2)</f>
        <v>2.17</v>
      </c>
      <c r="V72" s="148"/>
      <c r="W72" s="148"/>
      <c r="X72" s="148"/>
      <c r="Y72" s="148"/>
      <c r="Z72" s="31">
        <v>2019</v>
      </c>
      <c r="AA72" s="146" t="s">
        <v>805</v>
      </c>
      <c r="AB72" s="146" t="s">
        <v>806</v>
      </c>
      <c r="AC72" s="30"/>
      <c r="AD72" s="31"/>
      <c r="AE72" s="148"/>
      <c r="AF72" s="148"/>
      <c r="AG72" s="148"/>
      <c r="AH72" s="148"/>
      <c r="AI72" s="150"/>
    </row>
    <row r="73" spans="1:35" ht="15.75">
      <c r="A73" s="563" t="s">
        <v>700</v>
      </c>
      <c r="B73" s="49" t="s">
        <v>703</v>
      </c>
      <c r="C73" s="88"/>
      <c r="D73" s="88"/>
      <c r="E73" s="88"/>
      <c r="F73" s="88"/>
      <c r="G73" s="146">
        <v>1988</v>
      </c>
      <c r="H73" s="146" t="s">
        <v>805</v>
      </c>
      <c r="I73" s="146" t="s">
        <v>807</v>
      </c>
      <c r="J73" s="30"/>
      <c r="K73" s="146"/>
      <c r="L73" s="146"/>
      <c r="M73" s="146"/>
      <c r="N73" s="146"/>
      <c r="O73" s="30"/>
      <c r="P73" s="146"/>
      <c r="Q73" s="32">
        <f>'[1]приложение 1.1'!H75</f>
        <v>6.225</v>
      </c>
      <c r="R73" s="77"/>
      <c r="S73" s="77">
        <f t="shared" si="0"/>
        <v>1.4349999999999996</v>
      </c>
      <c r="T73" s="147">
        <f>ROUND((240975+54122)/1000000*8.94,2)</f>
        <v>2.64</v>
      </c>
      <c r="U73" s="77">
        <f>ROUND((2154041)/1000000,2)</f>
        <v>2.15</v>
      </c>
      <c r="V73" s="148"/>
      <c r="W73" s="148"/>
      <c r="X73" s="148"/>
      <c r="Y73" s="148"/>
      <c r="Z73" s="31">
        <v>2019</v>
      </c>
      <c r="AA73" s="146" t="s">
        <v>805</v>
      </c>
      <c r="AB73" s="146" t="s">
        <v>807</v>
      </c>
      <c r="AC73" s="30"/>
      <c r="AD73" s="31"/>
      <c r="AE73" s="148"/>
      <c r="AF73" s="148"/>
      <c r="AG73" s="148"/>
      <c r="AH73" s="148"/>
      <c r="AI73" s="150"/>
    </row>
    <row r="74" spans="1:35" ht="15.75">
      <c r="A74" s="563" t="s">
        <v>702</v>
      </c>
      <c r="B74" s="49" t="s">
        <v>705</v>
      </c>
      <c r="C74" s="88"/>
      <c r="D74" s="88"/>
      <c r="E74" s="88"/>
      <c r="F74" s="88"/>
      <c r="G74" s="146">
        <v>1992</v>
      </c>
      <c r="H74" s="146" t="s">
        <v>805</v>
      </c>
      <c r="I74" s="146"/>
      <c r="J74" s="30">
        <v>0</v>
      </c>
      <c r="K74" s="146"/>
      <c r="L74" s="146"/>
      <c r="M74" s="146"/>
      <c r="N74" s="146"/>
      <c r="O74" s="30"/>
      <c r="P74" s="146"/>
      <c r="Q74" s="32">
        <f>'[1]приложение 1.1'!H76</f>
        <v>4.203</v>
      </c>
      <c r="R74" s="77"/>
      <c r="S74" s="77">
        <f t="shared" si="0"/>
        <v>1.033</v>
      </c>
      <c r="T74" s="147">
        <f>ROUND((134011+41809)/1000000*8.94,2)</f>
        <v>1.57</v>
      </c>
      <c r="U74" s="77">
        <f>ROUND((1604746)/1000000,2)</f>
        <v>1.6</v>
      </c>
      <c r="V74" s="148"/>
      <c r="W74" s="148"/>
      <c r="X74" s="148"/>
      <c r="Y74" s="148"/>
      <c r="Z74" s="31">
        <v>2019</v>
      </c>
      <c r="AA74" s="146" t="s">
        <v>805</v>
      </c>
      <c r="AB74" s="146"/>
      <c r="AC74" s="30">
        <v>0</v>
      </c>
      <c r="AD74" s="31"/>
      <c r="AE74" s="148"/>
      <c r="AF74" s="148"/>
      <c r="AG74" s="148"/>
      <c r="AH74" s="148"/>
      <c r="AI74" s="150"/>
    </row>
    <row r="75" spans="1:35" ht="15.75">
      <c r="A75" s="563" t="s">
        <v>704</v>
      </c>
      <c r="B75" s="49" t="s">
        <v>707</v>
      </c>
      <c r="C75" s="88"/>
      <c r="D75" s="88"/>
      <c r="E75" s="88"/>
      <c r="F75" s="88"/>
      <c r="G75" s="146">
        <v>1990</v>
      </c>
      <c r="H75" s="146" t="s">
        <v>805</v>
      </c>
      <c r="I75" s="146"/>
      <c r="J75" s="30">
        <v>0</v>
      </c>
      <c r="K75" s="146"/>
      <c r="L75" s="146"/>
      <c r="M75" s="146"/>
      <c r="N75" s="146"/>
      <c r="O75" s="30"/>
      <c r="P75" s="146"/>
      <c r="Q75" s="32">
        <f>'[1]приложение 1.1'!H77</f>
        <v>1.4969999999999999</v>
      </c>
      <c r="R75" s="77"/>
      <c r="S75" s="77">
        <f t="shared" si="0"/>
        <v>0.28699999999999987</v>
      </c>
      <c r="T75" s="147">
        <f>ROUND((93960+6720)/1000000*8.94,2)</f>
        <v>0.9</v>
      </c>
      <c r="U75" s="77">
        <f>ROUND((307779)/1000000,2)</f>
        <v>0.31</v>
      </c>
      <c r="V75" s="148"/>
      <c r="W75" s="148"/>
      <c r="X75" s="148"/>
      <c r="Y75" s="148"/>
      <c r="Z75" s="31">
        <v>2019</v>
      </c>
      <c r="AA75" s="146" t="s">
        <v>805</v>
      </c>
      <c r="AB75" s="146"/>
      <c r="AC75" s="30">
        <v>0</v>
      </c>
      <c r="AD75" s="31"/>
      <c r="AE75" s="148"/>
      <c r="AF75" s="148"/>
      <c r="AG75" s="148"/>
      <c r="AH75" s="148"/>
      <c r="AI75" s="150"/>
    </row>
    <row r="76" spans="1:35" ht="15.75">
      <c r="A76" s="563" t="s">
        <v>706</v>
      </c>
      <c r="B76" s="49" t="s">
        <v>709</v>
      </c>
      <c r="C76" s="88"/>
      <c r="D76" s="88"/>
      <c r="E76" s="88"/>
      <c r="F76" s="88"/>
      <c r="G76" s="146">
        <v>1986</v>
      </c>
      <c r="H76" s="146" t="s">
        <v>805</v>
      </c>
      <c r="I76" s="146"/>
      <c r="J76" s="30">
        <v>0</v>
      </c>
      <c r="K76" s="146"/>
      <c r="L76" s="146"/>
      <c r="M76" s="146"/>
      <c r="N76" s="146"/>
      <c r="O76" s="30"/>
      <c r="P76" s="146"/>
      <c r="Q76" s="32">
        <f>'[1]приложение 1.1'!H78</f>
        <v>9.858</v>
      </c>
      <c r="R76" s="77">
        <v>0.496</v>
      </c>
      <c r="S76" s="77">
        <f t="shared" si="0"/>
        <v>2.242</v>
      </c>
      <c r="T76" s="147">
        <f>ROUND((341947+23419+208464+40571)/1000000*8.97,2)</f>
        <v>5.51</v>
      </c>
      <c r="U76" s="77">
        <f>ROUND((1605236)/1000000,2)</f>
        <v>1.61</v>
      </c>
      <c r="V76" s="148"/>
      <c r="W76" s="148"/>
      <c r="X76" s="148"/>
      <c r="Y76" s="148"/>
      <c r="Z76" s="31">
        <v>2019</v>
      </c>
      <c r="AA76" s="146" t="s">
        <v>805</v>
      </c>
      <c r="AB76" s="146"/>
      <c r="AC76" s="30">
        <v>0</v>
      </c>
      <c r="AD76" s="31"/>
      <c r="AE76" s="148"/>
      <c r="AF76" s="148"/>
      <c r="AG76" s="148"/>
      <c r="AH76" s="148"/>
      <c r="AI76" s="150"/>
    </row>
    <row r="77" spans="1:35" ht="15.75">
      <c r="A77" s="563" t="s">
        <v>708</v>
      </c>
      <c r="B77" s="49" t="s">
        <v>711</v>
      </c>
      <c r="C77" s="88"/>
      <c r="D77" s="88"/>
      <c r="E77" s="88"/>
      <c r="F77" s="88"/>
      <c r="G77" s="146">
        <v>1991</v>
      </c>
      <c r="H77" s="146" t="s">
        <v>805</v>
      </c>
      <c r="I77" s="146" t="s">
        <v>806</v>
      </c>
      <c r="J77" s="30"/>
      <c r="K77" s="146"/>
      <c r="L77" s="146"/>
      <c r="M77" s="146"/>
      <c r="N77" s="146"/>
      <c r="O77" s="30"/>
      <c r="P77" s="146"/>
      <c r="Q77" s="32">
        <f>'[1]приложение 1.1'!H79</f>
        <v>1.059</v>
      </c>
      <c r="R77" s="77"/>
      <c r="S77" s="77">
        <f t="shared" si="0"/>
        <v>0.179</v>
      </c>
      <c r="T77" s="147">
        <f>ROUND((65189+216)/1000000*8.97,2)</f>
        <v>0.59</v>
      </c>
      <c r="U77" s="77">
        <f>ROUND((285276)/1000000,2)</f>
        <v>0.29</v>
      </c>
      <c r="V77" s="148"/>
      <c r="W77" s="148"/>
      <c r="X77" s="148"/>
      <c r="Y77" s="148"/>
      <c r="Z77" s="31">
        <v>2019</v>
      </c>
      <c r="AA77" s="146" t="s">
        <v>805</v>
      </c>
      <c r="AB77" s="146" t="s">
        <v>806</v>
      </c>
      <c r="AC77" s="30"/>
      <c r="AD77" s="31"/>
      <c r="AE77" s="148"/>
      <c r="AF77" s="148"/>
      <c r="AG77" s="148"/>
      <c r="AH77" s="148"/>
      <c r="AI77" s="150"/>
    </row>
    <row r="78" spans="1:35" ht="15.75">
      <c r="A78" s="563" t="s">
        <v>710</v>
      </c>
      <c r="B78" s="49" t="s">
        <v>713</v>
      </c>
      <c r="C78" s="88"/>
      <c r="D78" s="88"/>
      <c r="E78" s="88"/>
      <c r="F78" s="88"/>
      <c r="G78" s="146">
        <v>1991</v>
      </c>
      <c r="H78" s="146" t="s">
        <v>805</v>
      </c>
      <c r="I78" s="146" t="s">
        <v>806</v>
      </c>
      <c r="J78" s="30"/>
      <c r="K78" s="146"/>
      <c r="L78" s="146"/>
      <c r="M78" s="146"/>
      <c r="N78" s="146"/>
      <c r="O78" s="30"/>
      <c r="P78" s="146"/>
      <c r="Q78" s="32">
        <f>'[1]приложение 1.1'!H80</f>
        <v>1.059</v>
      </c>
      <c r="R78" s="77"/>
      <c r="S78" s="77">
        <f t="shared" si="0"/>
        <v>0.179</v>
      </c>
      <c r="T78" s="147">
        <f>ROUND((65189+216)/1000000*8.97,2)</f>
        <v>0.59</v>
      </c>
      <c r="U78" s="77">
        <f>ROUND((285276)/1000000,2)</f>
        <v>0.29</v>
      </c>
      <c r="V78" s="148"/>
      <c r="W78" s="148"/>
      <c r="X78" s="148"/>
      <c r="Y78" s="148"/>
      <c r="Z78" s="31">
        <v>2019</v>
      </c>
      <c r="AA78" s="146" t="s">
        <v>805</v>
      </c>
      <c r="AB78" s="146" t="s">
        <v>806</v>
      </c>
      <c r="AC78" s="30"/>
      <c r="AD78" s="31"/>
      <c r="AE78" s="148"/>
      <c r="AF78" s="148"/>
      <c r="AG78" s="148"/>
      <c r="AH78" s="148"/>
      <c r="AI78" s="150"/>
    </row>
    <row r="79" spans="1:35" ht="15.75">
      <c r="A79" s="563" t="s">
        <v>712</v>
      </c>
      <c r="B79" s="49" t="s">
        <v>715</v>
      </c>
      <c r="C79" s="88"/>
      <c r="D79" s="88"/>
      <c r="E79" s="88"/>
      <c r="F79" s="88"/>
      <c r="G79" s="146">
        <v>1981</v>
      </c>
      <c r="H79" s="146" t="s">
        <v>805</v>
      </c>
      <c r="I79" s="146" t="s">
        <v>808</v>
      </c>
      <c r="J79" s="30">
        <v>0.63</v>
      </c>
      <c r="K79" s="146"/>
      <c r="L79" s="146"/>
      <c r="M79" s="146"/>
      <c r="N79" s="146"/>
      <c r="O79" s="30"/>
      <c r="P79" s="146"/>
      <c r="Q79" s="32">
        <f>'[1]приложение 1.1'!H81</f>
        <v>1.0799999999999998</v>
      </c>
      <c r="R79" s="77">
        <v>0.061</v>
      </c>
      <c r="S79" s="77">
        <f t="shared" si="0"/>
        <v>0.24899999999999992</v>
      </c>
      <c r="T79" s="147">
        <f>ROUND((83333+413)/1000000*8.97,2)</f>
        <v>0.75</v>
      </c>
      <c r="U79" s="77">
        <f>ROUND((21492)/1000000,2)</f>
        <v>0.02</v>
      </c>
      <c r="V79" s="148"/>
      <c r="W79" s="148"/>
      <c r="X79" s="148"/>
      <c r="Y79" s="148"/>
      <c r="Z79" s="31">
        <v>2019</v>
      </c>
      <c r="AA79" s="146" t="s">
        <v>805</v>
      </c>
      <c r="AB79" s="146" t="s">
        <v>808</v>
      </c>
      <c r="AC79" s="30">
        <v>0.63</v>
      </c>
      <c r="AD79" s="31"/>
      <c r="AE79" s="148"/>
      <c r="AF79" s="148"/>
      <c r="AG79" s="148"/>
      <c r="AH79" s="148"/>
      <c r="AI79" s="150"/>
    </row>
    <row r="80" spans="1:35" ht="15.75">
      <c r="A80" s="563" t="s">
        <v>714</v>
      </c>
      <c r="B80" s="49" t="s">
        <v>717</v>
      </c>
      <c r="C80" s="88"/>
      <c r="D80" s="88"/>
      <c r="E80" s="88"/>
      <c r="F80" s="88"/>
      <c r="G80" s="146">
        <v>1988</v>
      </c>
      <c r="H80" s="146" t="s">
        <v>805</v>
      </c>
      <c r="I80" s="146" t="s">
        <v>808</v>
      </c>
      <c r="J80" s="30">
        <v>0.4</v>
      </c>
      <c r="K80" s="146"/>
      <c r="L80" s="146"/>
      <c r="M80" s="146"/>
      <c r="N80" s="146"/>
      <c r="O80" s="30"/>
      <c r="P80" s="146"/>
      <c r="Q80" s="32">
        <f>'[1]приложение 1.1'!H82</f>
        <v>0.925</v>
      </c>
      <c r="R80" s="77">
        <v>0.052000000000000005</v>
      </c>
      <c r="S80" s="77">
        <f t="shared" si="0"/>
        <v>0.18299999999999997</v>
      </c>
      <c r="T80" s="147">
        <f>ROUND((74359+123)/1000000*8.97,2)</f>
        <v>0.67</v>
      </c>
      <c r="U80" s="77">
        <f>ROUND((17552)/1000000,2)</f>
        <v>0.02</v>
      </c>
      <c r="V80" s="148"/>
      <c r="W80" s="148"/>
      <c r="X80" s="148"/>
      <c r="Y80" s="148"/>
      <c r="Z80" s="31">
        <v>2019</v>
      </c>
      <c r="AA80" s="146" t="s">
        <v>805</v>
      </c>
      <c r="AB80" s="146" t="s">
        <v>808</v>
      </c>
      <c r="AC80" s="30">
        <v>0.4</v>
      </c>
      <c r="AD80" s="31"/>
      <c r="AE80" s="148"/>
      <c r="AF80" s="148"/>
      <c r="AG80" s="148"/>
      <c r="AH80" s="148"/>
      <c r="AI80" s="150"/>
    </row>
    <row r="81" spans="1:35" ht="15.75">
      <c r="A81" s="563" t="s">
        <v>716</v>
      </c>
      <c r="B81" s="49" t="s">
        <v>719</v>
      </c>
      <c r="C81" s="88"/>
      <c r="D81" s="88"/>
      <c r="E81" s="88"/>
      <c r="F81" s="88"/>
      <c r="G81" s="146">
        <v>1988</v>
      </c>
      <c r="H81" s="146" t="s">
        <v>805</v>
      </c>
      <c r="I81" s="146" t="s">
        <v>806</v>
      </c>
      <c r="J81" s="30">
        <v>0.8</v>
      </c>
      <c r="K81" s="146"/>
      <c r="L81" s="146"/>
      <c r="M81" s="146"/>
      <c r="N81" s="146"/>
      <c r="O81" s="30"/>
      <c r="P81" s="146"/>
      <c r="Q81" s="32">
        <f>'[1]приложение 1.1'!H83</f>
        <v>16.086000000000002</v>
      </c>
      <c r="R81" s="77">
        <v>1.709</v>
      </c>
      <c r="S81" s="77">
        <f t="shared" si="0"/>
        <v>2.8670000000000027</v>
      </c>
      <c r="T81" s="147">
        <f>ROUND((2290509+4208)/1000000*4.91,2)</f>
        <v>11.27</v>
      </c>
      <c r="U81" s="77">
        <f>ROUND((238321)/1000000,2)</f>
        <v>0.24</v>
      </c>
      <c r="V81" s="148"/>
      <c r="W81" s="148"/>
      <c r="X81" s="148"/>
      <c r="Y81" s="148"/>
      <c r="Z81" s="31">
        <v>2019</v>
      </c>
      <c r="AA81" s="146" t="s">
        <v>805</v>
      </c>
      <c r="AB81" s="146" t="s">
        <v>806</v>
      </c>
      <c r="AC81" s="30">
        <v>0.8</v>
      </c>
      <c r="AD81" s="31"/>
      <c r="AE81" s="148"/>
      <c r="AF81" s="148"/>
      <c r="AG81" s="148"/>
      <c r="AH81" s="148"/>
      <c r="AI81" s="150"/>
    </row>
    <row r="82" spans="1:35" ht="15.75">
      <c r="A82" s="563" t="s">
        <v>718</v>
      </c>
      <c r="B82" s="49" t="s">
        <v>721</v>
      </c>
      <c r="C82" s="88"/>
      <c r="D82" s="88"/>
      <c r="E82" s="88"/>
      <c r="F82" s="88"/>
      <c r="G82" s="146">
        <v>1987</v>
      </c>
      <c r="H82" s="146" t="s">
        <v>805</v>
      </c>
      <c r="I82" s="146" t="s">
        <v>808</v>
      </c>
      <c r="J82" s="30">
        <v>0.4</v>
      </c>
      <c r="K82" s="146"/>
      <c r="L82" s="146"/>
      <c r="M82" s="146"/>
      <c r="N82" s="146"/>
      <c r="O82" s="30"/>
      <c r="P82" s="146"/>
      <c r="Q82" s="32">
        <f>'[1]приложение 1.1'!H84</f>
        <v>0.91</v>
      </c>
      <c r="R82" s="77">
        <v>0.093</v>
      </c>
      <c r="S82" s="77">
        <f t="shared" si="0"/>
        <v>0.18700000000000008</v>
      </c>
      <c r="T82" s="147">
        <f>ROUND((129000+495)/1000000*4.73,2)</f>
        <v>0.61</v>
      </c>
      <c r="U82" s="77">
        <f>ROUND((19122)/1000000,2)</f>
        <v>0.02</v>
      </c>
      <c r="V82" s="148"/>
      <c r="W82" s="148"/>
      <c r="X82" s="148"/>
      <c r="Y82" s="148"/>
      <c r="Z82" s="31">
        <v>2019</v>
      </c>
      <c r="AA82" s="146" t="s">
        <v>805</v>
      </c>
      <c r="AB82" s="146" t="s">
        <v>808</v>
      </c>
      <c r="AC82" s="30">
        <v>0.4</v>
      </c>
      <c r="AD82" s="31"/>
      <c r="AE82" s="148"/>
      <c r="AF82" s="148"/>
      <c r="AG82" s="148"/>
      <c r="AH82" s="148"/>
      <c r="AI82" s="150"/>
    </row>
    <row r="83" spans="1:35" ht="15.75">
      <c r="A83" s="563" t="s">
        <v>720</v>
      </c>
      <c r="B83" s="49" t="s">
        <v>723</v>
      </c>
      <c r="C83" s="88"/>
      <c r="D83" s="88"/>
      <c r="E83" s="88"/>
      <c r="F83" s="88"/>
      <c r="G83" s="146">
        <v>1987</v>
      </c>
      <c r="H83" s="146" t="s">
        <v>805</v>
      </c>
      <c r="I83" s="146" t="s">
        <v>808</v>
      </c>
      <c r="J83" s="30">
        <v>0.4</v>
      </c>
      <c r="K83" s="146"/>
      <c r="L83" s="146"/>
      <c r="M83" s="146"/>
      <c r="N83" s="146"/>
      <c r="O83" s="30"/>
      <c r="P83" s="146"/>
      <c r="Q83" s="32">
        <f>'[1]приложение 1.1'!H85</f>
        <v>0.911</v>
      </c>
      <c r="R83" s="77">
        <v>0.093</v>
      </c>
      <c r="S83" s="77">
        <f t="shared" si="0"/>
        <v>0.18800000000000008</v>
      </c>
      <c r="T83" s="147">
        <f>ROUND((129000+496)/1000000*4.73,2)</f>
        <v>0.61</v>
      </c>
      <c r="U83" s="77">
        <f>ROUND((19122)/1000000,2)</f>
        <v>0.02</v>
      </c>
      <c r="V83" s="148"/>
      <c r="W83" s="148"/>
      <c r="X83" s="148"/>
      <c r="Y83" s="148"/>
      <c r="Z83" s="31">
        <v>2019</v>
      </c>
      <c r="AA83" s="146" t="s">
        <v>805</v>
      </c>
      <c r="AB83" s="146" t="s">
        <v>808</v>
      </c>
      <c r="AC83" s="30">
        <v>0.4</v>
      </c>
      <c r="AD83" s="31"/>
      <c r="AE83" s="148"/>
      <c r="AF83" s="148"/>
      <c r="AG83" s="148"/>
      <c r="AH83" s="148"/>
      <c r="AI83" s="150"/>
    </row>
    <row r="84" spans="1:35" ht="15.75">
      <c r="A84" s="563" t="s">
        <v>722</v>
      </c>
      <c r="B84" s="49" t="s">
        <v>725</v>
      </c>
      <c r="C84" s="88"/>
      <c r="D84" s="88"/>
      <c r="E84" s="88"/>
      <c r="F84" s="88"/>
      <c r="G84" s="146">
        <v>2004</v>
      </c>
      <c r="H84" s="146" t="s">
        <v>805</v>
      </c>
      <c r="I84" s="146" t="s">
        <v>808</v>
      </c>
      <c r="J84" s="30">
        <v>0.4</v>
      </c>
      <c r="K84" s="146"/>
      <c r="L84" s="146"/>
      <c r="M84" s="146"/>
      <c r="N84" s="146"/>
      <c r="O84" s="30"/>
      <c r="P84" s="146"/>
      <c r="Q84" s="32">
        <f>'[1]приложение 1.1'!H86</f>
        <v>1.345</v>
      </c>
      <c r="R84" s="77">
        <v>0.315</v>
      </c>
      <c r="S84" s="77">
        <f t="shared" si="0"/>
        <v>0.26000000000000006</v>
      </c>
      <c r="T84" s="147">
        <f>ROUND((74359+7287)/1000000*8.97,2)</f>
        <v>0.73</v>
      </c>
      <c r="U84" s="77">
        <f>ROUND((43840)/1000000,2)</f>
        <v>0.04</v>
      </c>
      <c r="V84" s="148"/>
      <c r="W84" s="148"/>
      <c r="X84" s="148"/>
      <c r="Y84" s="148"/>
      <c r="Z84" s="31">
        <v>2019</v>
      </c>
      <c r="AA84" s="146" t="s">
        <v>805</v>
      </c>
      <c r="AB84" s="146" t="s">
        <v>808</v>
      </c>
      <c r="AC84" s="30">
        <v>0.4</v>
      </c>
      <c r="AD84" s="31"/>
      <c r="AE84" s="148"/>
      <c r="AF84" s="148"/>
      <c r="AG84" s="148"/>
      <c r="AH84" s="148"/>
      <c r="AI84" s="150"/>
    </row>
    <row r="85" spans="1:35" ht="18.75" customHeight="1">
      <c r="A85" s="563" t="s">
        <v>724</v>
      </c>
      <c r="B85" s="49" t="s">
        <v>727</v>
      </c>
      <c r="C85" s="88"/>
      <c r="D85" s="88"/>
      <c r="E85" s="88"/>
      <c r="F85" s="88"/>
      <c r="G85" s="146">
        <v>2008</v>
      </c>
      <c r="H85" s="146" t="s">
        <v>805</v>
      </c>
      <c r="I85" s="146" t="s">
        <v>808</v>
      </c>
      <c r="J85" s="30">
        <v>0.4</v>
      </c>
      <c r="K85" s="146"/>
      <c r="L85" s="146"/>
      <c r="M85" s="146"/>
      <c r="N85" s="146"/>
      <c r="O85" s="30"/>
      <c r="P85" s="146"/>
      <c r="Q85" s="32">
        <f>'[1]приложение 1.1'!H87</f>
        <v>1.345</v>
      </c>
      <c r="R85" s="77">
        <v>0.315</v>
      </c>
      <c r="S85" s="77">
        <f t="shared" si="0"/>
        <v>0.26000000000000006</v>
      </c>
      <c r="T85" s="147">
        <f>ROUND((74359+7287)/1000000*8.97,2)</f>
        <v>0.73</v>
      </c>
      <c r="U85" s="77">
        <f>ROUND((43840)/1000000,2)</f>
        <v>0.04</v>
      </c>
      <c r="V85" s="148"/>
      <c r="W85" s="148"/>
      <c r="X85" s="148"/>
      <c r="Y85" s="148"/>
      <c r="Z85" s="31">
        <v>2019</v>
      </c>
      <c r="AA85" s="146" t="s">
        <v>805</v>
      </c>
      <c r="AB85" s="146" t="s">
        <v>808</v>
      </c>
      <c r="AC85" s="30">
        <v>0.4</v>
      </c>
      <c r="AD85" s="31"/>
      <c r="AE85" s="148"/>
      <c r="AF85" s="148"/>
      <c r="AG85" s="148"/>
      <c r="AH85" s="148"/>
      <c r="AI85" s="150"/>
    </row>
    <row r="86" spans="1:35" ht="36" customHeight="1">
      <c r="A86" s="563" t="s">
        <v>726</v>
      </c>
      <c r="B86" s="49" t="s">
        <v>729</v>
      </c>
      <c r="C86" s="88"/>
      <c r="D86" s="88"/>
      <c r="E86" s="88"/>
      <c r="F86" s="88"/>
      <c r="G86" s="146"/>
      <c r="H86" s="146"/>
      <c r="I86" s="146"/>
      <c r="J86" s="30"/>
      <c r="K86" s="146">
        <v>1982</v>
      </c>
      <c r="L86" s="146" t="s">
        <v>798</v>
      </c>
      <c r="M86" s="146"/>
      <c r="N86" s="146" t="s">
        <v>827</v>
      </c>
      <c r="O86" s="30">
        <v>0.08</v>
      </c>
      <c r="P86" s="146"/>
      <c r="Q86" s="32">
        <f>'[1]приложение 1.1'!H88</f>
        <v>0.14100000000000001</v>
      </c>
      <c r="R86" s="77">
        <v>0.011</v>
      </c>
      <c r="S86" s="77">
        <f t="shared" si="0"/>
        <v>0.07</v>
      </c>
      <c r="T86" s="147">
        <f>ROUND((8362)/1000000*6.69,2)</f>
        <v>0.06</v>
      </c>
      <c r="U86" s="77">
        <f>ROUND((3642)/1000000,2)</f>
        <v>0</v>
      </c>
      <c r="V86" s="148"/>
      <c r="W86" s="148"/>
      <c r="X86" s="148"/>
      <c r="Y86" s="148"/>
      <c r="Z86" s="148"/>
      <c r="AA86" s="148"/>
      <c r="AB86" s="148"/>
      <c r="AC86" s="148"/>
      <c r="AD86" s="31">
        <v>2019</v>
      </c>
      <c r="AE86" s="146" t="s">
        <v>798</v>
      </c>
      <c r="AF86" s="149"/>
      <c r="AG86" s="146" t="s">
        <v>819</v>
      </c>
      <c r="AH86" s="149">
        <v>0.08</v>
      </c>
      <c r="AI86" s="150"/>
    </row>
    <row r="87" spans="1:35" ht="63">
      <c r="A87" s="563" t="s">
        <v>728</v>
      </c>
      <c r="B87" s="49" t="s">
        <v>731</v>
      </c>
      <c r="C87" s="88"/>
      <c r="D87" s="88"/>
      <c r="E87" s="88"/>
      <c r="F87" s="88"/>
      <c r="G87" s="146"/>
      <c r="H87" s="146"/>
      <c r="I87" s="146"/>
      <c r="J87" s="30"/>
      <c r="K87" s="146">
        <v>1985</v>
      </c>
      <c r="L87" s="146" t="s">
        <v>798</v>
      </c>
      <c r="M87" s="146"/>
      <c r="N87" s="146" t="s">
        <v>828</v>
      </c>
      <c r="O87" s="160">
        <v>0.14</v>
      </c>
      <c r="P87" s="146"/>
      <c r="Q87" s="32">
        <f>'[1]приложение 1.1'!H89</f>
        <v>0.499</v>
      </c>
      <c r="R87" s="77">
        <v>0.041</v>
      </c>
      <c r="S87" s="77">
        <f t="shared" si="0"/>
        <v>0.188</v>
      </c>
      <c r="T87" s="147">
        <f>ROUND((38595)/1000000*6.69,2)</f>
        <v>0.26</v>
      </c>
      <c r="U87" s="77">
        <f>ROUND((7283)/1000000,2)</f>
        <v>0.01</v>
      </c>
      <c r="V87" s="148"/>
      <c r="W87" s="148"/>
      <c r="X87" s="148"/>
      <c r="Y87" s="148"/>
      <c r="Z87" s="148"/>
      <c r="AA87" s="148"/>
      <c r="AB87" s="148"/>
      <c r="AC87" s="148"/>
      <c r="AD87" s="149">
        <v>2019</v>
      </c>
      <c r="AE87" s="149" t="s">
        <v>798</v>
      </c>
      <c r="AF87" s="149"/>
      <c r="AG87" s="146" t="s">
        <v>814</v>
      </c>
      <c r="AH87" s="149">
        <v>0.14</v>
      </c>
      <c r="AI87" s="150"/>
    </row>
    <row r="88" spans="1:35" ht="31.5">
      <c r="A88" s="563" t="s">
        <v>730</v>
      </c>
      <c r="B88" s="49" t="s">
        <v>733</v>
      </c>
      <c r="C88" s="88"/>
      <c r="D88" s="88"/>
      <c r="E88" s="88"/>
      <c r="F88" s="88"/>
      <c r="G88" s="146"/>
      <c r="H88" s="146"/>
      <c r="I88" s="146"/>
      <c r="J88" s="30"/>
      <c r="K88" s="146">
        <v>1983</v>
      </c>
      <c r="L88" s="146" t="s">
        <v>798</v>
      </c>
      <c r="M88" s="146"/>
      <c r="N88" s="146" t="s">
        <v>829</v>
      </c>
      <c r="O88" s="160">
        <v>0.39</v>
      </c>
      <c r="P88" s="146"/>
      <c r="Q88" s="32">
        <f>'[1]приложение 1.1'!H90</f>
        <v>0.28</v>
      </c>
      <c r="R88" s="77">
        <v>0.024</v>
      </c>
      <c r="S88" s="77">
        <f t="shared" si="0"/>
        <v>0.126</v>
      </c>
      <c r="T88" s="147">
        <f>ROUND((19238)/1000000*6.69,2)</f>
        <v>0.13</v>
      </c>
      <c r="U88" s="77">
        <f>ROUND((3642)/1000000,2)</f>
        <v>0</v>
      </c>
      <c r="V88" s="148"/>
      <c r="W88" s="148"/>
      <c r="X88" s="148"/>
      <c r="Y88" s="148"/>
      <c r="Z88" s="148"/>
      <c r="AA88" s="148"/>
      <c r="AB88" s="148"/>
      <c r="AC88" s="148"/>
      <c r="AD88" s="149">
        <v>2019</v>
      </c>
      <c r="AE88" s="149" t="s">
        <v>798</v>
      </c>
      <c r="AF88" s="149"/>
      <c r="AG88" s="146" t="s">
        <v>819</v>
      </c>
      <c r="AH88" s="161">
        <v>0.39</v>
      </c>
      <c r="AI88" s="150"/>
    </row>
    <row r="89" spans="1:35" ht="31.5">
      <c r="A89" s="563" t="s">
        <v>732</v>
      </c>
      <c r="B89" s="49" t="s">
        <v>734</v>
      </c>
      <c r="C89" s="88"/>
      <c r="D89" s="88"/>
      <c r="E89" s="88"/>
      <c r="F89" s="88"/>
      <c r="G89" s="146"/>
      <c r="H89" s="146"/>
      <c r="I89" s="146"/>
      <c r="J89" s="30"/>
      <c r="K89" s="146">
        <v>2008</v>
      </c>
      <c r="L89" s="146" t="s">
        <v>798</v>
      </c>
      <c r="M89" s="146"/>
      <c r="N89" s="146" t="s">
        <v>830</v>
      </c>
      <c r="O89" s="160">
        <v>0.32</v>
      </c>
      <c r="P89" s="146"/>
      <c r="Q89" s="32">
        <f>'[1]приложение 1.1'!H91</f>
        <v>0.46299999999999997</v>
      </c>
      <c r="R89" s="77">
        <v>0.039</v>
      </c>
      <c r="S89" s="77">
        <f t="shared" si="0"/>
        <v>0.214</v>
      </c>
      <c r="T89" s="147">
        <f>ROUND((31066)/1000000*6.69,2)</f>
        <v>0.21</v>
      </c>
      <c r="U89" s="77">
        <f>ROUND((3642)/1000000,2)</f>
        <v>0</v>
      </c>
      <c r="V89" s="148"/>
      <c r="W89" s="148"/>
      <c r="X89" s="148"/>
      <c r="Y89" s="148"/>
      <c r="Z89" s="148"/>
      <c r="AA89" s="148"/>
      <c r="AB89" s="148"/>
      <c r="AC89" s="148"/>
      <c r="AD89" s="149">
        <v>2019</v>
      </c>
      <c r="AE89" s="149" t="s">
        <v>798</v>
      </c>
      <c r="AF89" s="149"/>
      <c r="AG89" s="146" t="s">
        <v>819</v>
      </c>
      <c r="AH89" s="161">
        <v>0.32</v>
      </c>
      <c r="AI89" s="150"/>
    </row>
    <row r="90" spans="1:35" ht="31.5">
      <c r="A90" s="52" t="s">
        <v>735</v>
      </c>
      <c r="B90" s="53" t="s">
        <v>736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55"/>
      <c r="R90" s="25"/>
      <c r="S90" s="25"/>
      <c r="T90" s="25"/>
      <c r="U90" s="25"/>
      <c r="V90" s="162"/>
      <c r="W90" s="162"/>
      <c r="X90" s="162"/>
      <c r="Y90" s="162"/>
      <c r="Z90" s="25"/>
      <c r="AA90" s="25"/>
      <c r="AB90" s="25"/>
      <c r="AC90" s="25"/>
      <c r="AD90" s="25"/>
      <c r="AE90" s="25"/>
      <c r="AF90" s="25"/>
      <c r="AG90" s="25"/>
      <c r="AH90" s="25"/>
      <c r="AI90" s="163"/>
    </row>
    <row r="91" spans="1:35" ht="15.75">
      <c r="A91" s="61"/>
      <c r="B91" s="62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5"/>
      <c r="R91" s="76"/>
      <c r="S91" s="76"/>
      <c r="T91" s="76"/>
      <c r="U91" s="76"/>
      <c r="V91" s="164"/>
      <c r="W91" s="164"/>
      <c r="X91" s="164"/>
      <c r="Y91" s="164"/>
      <c r="Z91" s="146"/>
      <c r="AA91" s="146"/>
      <c r="AB91" s="146"/>
      <c r="AC91" s="146"/>
      <c r="AD91" s="146"/>
      <c r="AE91" s="146"/>
      <c r="AF91" s="146"/>
      <c r="AG91" s="146"/>
      <c r="AH91" s="146"/>
      <c r="AI91" s="166"/>
    </row>
    <row r="92" spans="1:35" ht="31.5">
      <c r="A92" s="52" t="s">
        <v>737</v>
      </c>
      <c r="B92" s="53" t="s">
        <v>738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73"/>
      <c r="R92" s="25"/>
      <c r="S92" s="25"/>
      <c r="T92" s="25"/>
      <c r="U92" s="25"/>
      <c r="V92" s="162"/>
      <c r="W92" s="162"/>
      <c r="X92" s="162"/>
      <c r="Y92" s="162"/>
      <c r="Z92" s="25"/>
      <c r="AA92" s="25"/>
      <c r="AB92" s="25"/>
      <c r="AC92" s="25"/>
      <c r="AD92" s="25"/>
      <c r="AE92" s="25"/>
      <c r="AF92" s="25"/>
      <c r="AG92" s="25"/>
      <c r="AH92" s="25"/>
      <c r="AI92" s="163"/>
    </row>
    <row r="93" spans="1:35" ht="15.75">
      <c r="A93" s="61"/>
      <c r="B93" s="62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5"/>
      <c r="R93" s="76"/>
      <c r="S93" s="76"/>
      <c r="T93" s="76"/>
      <c r="U93" s="76"/>
      <c r="V93" s="164"/>
      <c r="W93" s="164"/>
      <c r="X93" s="164"/>
      <c r="Y93" s="164"/>
      <c r="Z93" s="146"/>
      <c r="AA93" s="146"/>
      <c r="AB93" s="146"/>
      <c r="AC93" s="146"/>
      <c r="AD93" s="146"/>
      <c r="AE93" s="146"/>
      <c r="AF93" s="146"/>
      <c r="AG93" s="146"/>
      <c r="AH93" s="146"/>
      <c r="AI93" s="166"/>
    </row>
    <row r="94" spans="1:35" ht="47.25">
      <c r="A94" s="52" t="s">
        <v>739</v>
      </c>
      <c r="B94" s="53" t="s">
        <v>740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55"/>
      <c r="R94" s="25"/>
      <c r="S94" s="25"/>
      <c r="T94" s="25"/>
      <c r="U94" s="25"/>
      <c r="V94" s="162"/>
      <c r="W94" s="162"/>
      <c r="X94" s="162"/>
      <c r="Y94" s="162"/>
      <c r="Z94" s="25"/>
      <c r="AA94" s="25"/>
      <c r="AB94" s="25"/>
      <c r="AC94" s="25"/>
      <c r="AD94" s="25"/>
      <c r="AE94" s="25"/>
      <c r="AF94" s="25"/>
      <c r="AG94" s="25"/>
      <c r="AH94" s="25"/>
      <c r="AI94" s="163"/>
    </row>
    <row r="95" spans="1:35" s="144" customFormat="1" ht="15.75">
      <c r="A95" s="67" t="s">
        <v>741</v>
      </c>
      <c r="B95" s="68" t="s">
        <v>742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9">
        <f>R95+S95+T95+U95</f>
        <v>1.68</v>
      </c>
      <c r="R95" s="68">
        <f>R98+R96</f>
        <v>0.2</v>
      </c>
      <c r="S95" s="68">
        <f>S98+S96</f>
        <v>1.07</v>
      </c>
      <c r="T95" s="68">
        <f>T98+T96</f>
        <v>0.4</v>
      </c>
      <c r="U95" s="68">
        <f>U98+U96</f>
        <v>0.01</v>
      </c>
      <c r="V95" s="167"/>
      <c r="W95" s="167"/>
      <c r="X95" s="167"/>
      <c r="Y95" s="167"/>
      <c r="Z95" s="168"/>
      <c r="AA95" s="168"/>
      <c r="AB95" s="168"/>
      <c r="AC95" s="168"/>
      <c r="AD95" s="168"/>
      <c r="AE95" s="168"/>
      <c r="AF95" s="168"/>
      <c r="AG95" s="168"/>
      <c r="AH95" s="68">
        <f>AH98+AH96</f>
        <v>0.37</v>
      </c>
      <c r="AI95" s="169"/>
    </row>
    <row r="96" spans="1:35" s="144" customFormat="1" ht="31.5">
      <c r="A96" s="22" t="s">
        <v>743</v>
      </c>
      <c r="B96" s="23" t="s">
        <v>595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24">
        <f>Q97</f>
        <v>1.68</v>
      </c>
      <c r="R96" s="24">
        <f>R97</f>
        <v>0.2</v>
      </c>
      <c r="S96" s="24">
        <f>S97</f>
        <v>1.07</v>
      </c>
      <c r="T96" s="24">
        <f>T97</f>
        <v>0.4</v>
      </c>
      <c r="U96" s="24">
        <f>U97</f>
        <v>0.01</v>
      </c>
      <c r="V96" s="170"/>
      <c r="W96" s="170"/>
      <c r="X96" s="170"/>
      <c r="Y96" s="170"/>
      <c r="Z96" s="23"/>
      <c r="AA96" s="23"/>
      <c r="AB96" s="23"/>
      <c r="AC96" s="23"/>
      <c r="AD96" s="23"/>
      <c r="AE96" s="23"/>
      <c r="AF96" s="23"/>
      <c r="AG96" s="23"/>
      <c r="AH96" s="23">
        <f>AH97</f>
        <v>0.37</v>
      </c>
      <c r="AI96" s="171"/>
    </row>
    <row r="97" spans="1:35" ht="31.5">
      <c r="A97" s="86" t="s">
        <v>831</v>
      </c>
      <c r="B97" s="75" t="s">
        <v>745</v>
      </c>
      <c r="C97" s="164"/>
      <c r="D97" s="164"/>
      <c r="E97" s="164"/>
      <c r="F97" s="164"/>
      <c r="G97" s="164"/>
      <c r="H97" s="164"/>
      <c r="I97" s="164"/>
      <c r="J97" s="164"/>
      <c r="K97" s="146"/>
      <c r="L97" s="146"/>
      <c r="M97" s="146"/>
      <c r="N97" s="146"/>
      <c r="O97" s="146"/>
      <c r="P97" s="164"/>
      <c r="Q97" s="32">
        <f>'приложение 1.1'!I99</f>
        <v>1.68</v>
      </c>
      <c r="R97" s="77">
        <v>0.2</v>
      </c>
      <c r="S97" s="77">
        <f>Q97-R97-T97-U97</f>
        <v>1.07</v>
      </c>
      <c r="T97" s="76">
        <f>ROUND(56194/1000000*7.15,2)</f>
        <v>0.4</v>
      </c>
      <c r="U97" s="76">
        <f>ROUND(6647/1000000,2)</f>
        <v>0.01</v>
      </c>
      <c r="V97" s="164"/>
      <c r="W97" s="164"/>
      <c r="X97" s="164"/>
      <c r="Y97" s="164"/>
      <c r="Z97" s="29"/>
      <c r="AA97" s="146"/>
      <c r="AB97" s="146"/>
      <c r="AC97" s="146"/>
      <c r="AD97" s="146">
        <v>2017</v>
      </c>
      <c r="AE97" s="146" t="s">
        <v>798</v>
      </c>
      <c r="AF97" s="146"/>
      <c r="AG97" s="146" t="s">
        <v>810</v>
      </c>
      <c r="AH97" s="146">
        <v>0.37</v>
      </c>
      <c r="AI97" s="166"/>
    </row>
    <row r="98" spans="1:35" s="144" customFormat="1" ht="15.75">
      <c r="A98" s="22" t="s">
        <v>746</v>
      </c>
      <c r="B98" s="23" t="s">
        <v>747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73">
        <f>Q99+Q101</f>
        <v>0</v>
      </c>
      <c r="R98" s="73">
        <f>R99+R101</f>
        <v>0</v>
      </c>
      <c r="S98" s="73">
        <f>S99+S101</f>
        <v>0</v>
      </c>
      <c r="T98" s="73">
        <f>T99+T101</f>
        <v>0</v>
      </c>
      <c r="U98" s="73">
        <f>U99+U101</f>
        <v>0</v>
      </c>
      <c r="V98" s="170"/>
      <c r="W98" s="170"/>
      <c r="X98" s="170"/>
      <c r="Y98" s="170"/>
      <c r="Z98" s="23"/>
      <c r="AA98" s="23"/>
      <c r="AB98" s="23"/>
      <c r="AC98" s="23"/>
      <c r="AD98" s="23"/>
      <c r="AE98" s="23"/>
      <c r="AF98" s="23"/>
      <c r="AG98" s="23"/>
      <c r="AH98" s="23"/>
      <c r="AI98" s="171"/>
    </row>
    <row r="99" spans="1:35" s="144" customFormat="1" ht="15.75">
      <c r="A99" s="22" t="s">
        <v>748</v>
      </c>
      <c r="B99" s="23" t="s">
        <v>749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24">
        <f>SUM(Q100:Q100)</f>
        <v>0</v>
      </c>
      <c r="R99" s="24">
        <f>SUM(R100:R100)</f>
        <v>0</v>
      </c>
      <c r="S99" s="24">
        <f>SUM(S100:S100)</f>
        <v>0</v>
      </c>
      <c r="T99" s="24">
        <f>SUM(T100:T100)</f>
        <v>0</v>
      </c>
      <c r="U99" s="24">
        <f>SUM(U100:U100)</f>
        <v>0</v>
      </c>
      <c r="V99" s="170"/>
      <c r="W99" s="170"/>
      <c r="X99" s="170"/>
      <c r="Y99" s="170"/>
      <c r="Z99" s="23"/>
      <c r="AA99" s="23"/>
      <c r="AB99" s="23"/>
      <c r="AC99" s="23"/>
      <c r="AD99" s="23"/>
      <c r="AE99" s="23"/>
      <c r="AF99" s="23"/>
      <c r="AG99" s="23"/>
      <c r="AH99" s="23"/>
      <c r="AI99" s="171"/>
    </row>
    <row r="100" spans="1:35" ht="15.75">
      <c r="A100" s="74"/>
      <c r="B100" s="75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32"/>
      <c r="R100" s="76"/>
      <c r="S100" s="77"/>
      <c r="T100" s="76"/>
      <c r="U100" s="76"/>
      <c r="V100" s="164"/>
      <c r="W100" s="164"/>
      <c r="X100" s="164"/>
      <c r="Y100" s="164"/>
      <c r="Z100" s="164"/>
      <c r="AA100" s="146"/>
      <c r="AB100" s="146"/>
      <c r="AC100" s="146"/>
      <c r="AD100" s="29"/>
      <c r="AE100" s="146"/>
      <c r="AF100" s="146"/>
      <c r="AG100" s="146"/>
      <c r="AH100" s="76"/>
      <c r="AI100" s="166"/>
    </row>
    <row r="101" spans="1:35" s="144" customFormat="1" ht="15.75">
      <c r="A101" s="80" t="s">
        <v>750</v>
      </c>
      <c r="B101" s="81" t="s">
        <v>751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24">
        <f>SUM(Q102:Q102)</f>
        <v>0</v>
      </c>
      <c r="R101" s="24">
        <f>SUM(R102:R102)</f>
        <v>0</v>
      </c>
      <c r="S101" s="24">
        <f>SUM(S102:S102)</f>
        <v>0</v>
      </c>
      <c r="T101" s="24">
        <f>SUM(T102:T102)</f>
        <v>0</v>
      </c>
      <c r="U101" s="24">
        <f>SUM(U102:U102)</f>
        <v>0</v>
      </c>
      <c r="V101" s="170"/>
      <c r="W101" s="170"/>
      <c r="X101" s="170"/>
      <c r="Y101" s="170"/>
      <c r="Z101" s="23"/>
      <c r="AA101" s="23"/>
      <c r="AB101" s="23"/>
      <c r="AC101" s="23"/>
      <c r="AD101" s="23"/>
      <c r="AE101" s="23"/>
      <c r="AF101" s="23"/>
      <c r="AG101" s="23"/>
      <c r="AH101" s="23"/>
      <c r="AI101" s="171"/>
    </row>
    <row r="102" spans="1:35" ht="15.75">
      <c r="A102" s="86"/>
      <c r="B102" s="43"/>
      <c r="C102" s="164"/>
      <c r="D102" s="164"/>
      <c r="E102" s="164"/>
      <c r="F102" s="164"/>
      <c r="G102" s="164"/>
      <c r="H102" s="164"/>
      <c r="I102" s="164"/>
      <c r="J102" s="164"/>
      <c r="K102" s="172"/>
      <c r="L102" s="172"/>
      <c r="M102" s="164"/>
      <c r="N102" s="164"/>
      <c r="O102" s="164"/>
      <c r="P102" s="164"/>
      <c r="Q102" s="32"/>
      <c r="R102" s="76"/>
      <c r="S102" s="77"/>
      <c r="T102" s="76"/>
      <c r="U102" s="156"/>
      <c r="V102" s="164"/>
      <c r="W102" s="164"/>
      <c r="X102" s="164"/>
      <c r="Y102" s="164"/>
      <c r="Z102" s="29"/>
      <c r="AA102" s="146"/>
      <c r="AB102" s="146"/>
      <c r="AC102" s="146"/>
      <c r="AD102" s="146"/>
      <c r="AE102" s="146"/>
      <c r="AF102" s="146"/>
      <c r="AG102" s="146"/>
      <c r="AH102" s="29"/>
      <c r="AI102" s="166"/>
    </row>
    <row r="103" spans="1:35" ht="15.75">
      <c r="A103" s="80" t="s">
        <v>752</v>
      </c>
      <c r="B103" s="81" t="s">
        <v>753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55"/>
      <c r="R103" s="25"/>
      <c r="S103" s="25"/>
      <c r="T103" s="25"/>
      <c r="U103" s="25"/>
      <c r="V103" s="162"/>
      <c r="W103" s="162"/>
      <c r="X103" s="162"/>
      <c r="Y103" s="162"/>
      <c r="Z103" s="25"/>
      <c r="AA103" s="25"/>
      <c r="AB103" s="25"/>
      <c r="AC103" s="25"/>
      <c r="AD103" s="25"/>
      <c r="AE103" s="25"/>
      <c r="AF103" s="25"/>
      <c r="AG103" s="25"/>
      <c r="AH103" s="25"/>
      <c r="AI103" s="163"/>
    </row>
    <row r="104" spans="1:35" ht="15.75">
      <c r="A104" s="86"/>
      <c r="B104" s="43"/>
      <c r="C104" s="164"/>
      <c r="D104" s="164"/>
      <c r="E104" s="164"/>
      <c r="F104" s="164"/>
      <c r="G104" s="164"/>
      <c r="H104" s="164"/>
      <c r="I104" s="146"/>
      <c r="J104" s="164"/>
      <c r="K104" s="164"/>
      <c r="L104" s="164"/>
      <c r="M104" s="164"/>
      <c r="N104" s="164"/>
      <c r="O104" s="164"/>
      <c r="P104" s="164"/>
      <c r="Q104" s="32"/>
      <c r="R104" s="76"/>
      <c r="S104" s="77"/>
      <c r="T104" s="76"/>
      <c r="U104" s="76"/>
      <c r="V104" s="164"/>
      <c r="W104" s="164"/>
      <c r="X104" s="164"/>
      <c r="Y104" s="164"/>
      <c r="Z104" s="29"/>
      <c r="AA104" s="146"/>
      <c r="AB104" s="146"/>
      <c r="AC104" s="146"/>
      <c r="AD104" s="146"/>
      <c r="AE104" s="146"/>
      <c r="AF104" s="146"/>
      <c r="AG104" s="146"/>
      <c r="AH104" s="146"/>
      <c r="AI104" s="166"/>
    </row>
    <row r="105" spans="1:35" s="144" customFormat="1" ht="15.75">
      <c r="A105" s="173" t="s">
        <v>832</v>
      </c>
      <c r="B105" s="174" t="s">
        <v>755</v>
      </c>
      <c r="C105" s="167"/>
      <c r="D105" s="167"/>
      <c r="E105" s="167"/>
      <c r="F105" s="167"/>
      <c r="G105" s="167"/>
      <c r="H105" s="167"/>
      <c r="I105" s="168"/>
      <c r="J105" s="167"/>
      <c r="K105" s="167"/>
      <c r="L105" s="167"/>
      <c r="M105" s="167"/>
      <c r="N105" s="167"/>
      <c r="O105" s="167"/>
      <c r="P105" s="167"/>
      <c r="Q105" s="175">
        <f>'приложение 1.1'!I107</f>
        <v>20.25</v>
      </c>
      <c r="R105" s="68">
        <v>0</v>
      </c>
      <c r="S105" s="70">
        <v>0</v>
      </c>
      <c r="T105" s="68">
        <v>20.25</v>
      </c>
      <c r="U105" s="68">
        <v>0</v>
      </c>
      <c r="V105" s="167"/>
      <c r="W105" s="167"/>
      <c r="X105" s="167"/>
      <c r="Y105" s="167"/>
      <c r="Z105" s="176"/>
      <c r="AA105" s="168"/>
      <c r="AB105" s="168"/>
      <c r="AC105" s="168"/>
      <c r="AD105" s="168"/>
      <c r="AE105" s="168"/>
      <c r="AF105" s="168"/>
      <c r="AG105" s="168"/>
      <c r="AH105" s="168"/>
      <c r="AI105" s="169"/>
    </row>
    <row r="106" spans="1:35" ht="12.75" customHeight="1">
      <c r="A106" s="591" t="s">
        <v>758</v>
      </c>
      <c r="B106" s="591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51"/>
      <c r="R106" s="151"/>
      <c r="S106" s="151"/>
      <c r="T106" s="151"/>
      <c r="U106" s="151"/>
      <c r="V106" s="164"/>
      <c r="W106" s="164"/>
      <c r="X106" s="164"/>
      <c r="Y106" s="164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66"/>
    </row>
    <row r="107" spans="1:35" ht="31.5">
      <c r="A107" s="177"/>
      <c r="B107" s="68" t="s">
        <v>759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51"/>
      <c r="R107" s="151"/>
      <c r="S107" s="151"/>
      <c r="T107" s="151"/>
      <c r="U107" s="151"/>
      <c r="V107" s="164"/>
      <c r="W107" s="164"/>
      <c r="X107" s="164"/>
      <c r="Y107" s="164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66"/>
    </row>
    <row r="108" spans="1:35" ht="15.75">
      <c r="A108" s="178" t="s">
        <v>760</v>
      </c>
      <c r="B108" s="92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80"/>
      <c r="R108" s="180"/>
      <c r="S108" s="180"/>
      <c r="T108" s="180"/>
      <c r="U108" s="180"/>
      <c r="V108" s="179"/>
      <c r="W108" s="179"/>
      <c r="X108" s="179"/>
      <c r="Y108" s="179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4"/>
    </row>
    <row r="109" spans="1:2" ht="15.75">
      <c r="A109" s="101"/>
      <c r="B109" s="97"/>
    </row>
    <row r="110" spans="1:2" ht="15.75">
      <c r="A110" s="181"/>
      <c r="B110" s="2" t="s">
        <v>761</v>
      </c>
    </row>
    <row r="111" spans="1:2" ht="15.75">
      <c r="A111" s="182"/>
      <c r="B111" s="2" t="s">
        <v>833</v>
      </c>
    </row>
    <row r="112" spans="1:2" ht="15.75">
      <c r="A112" s="182"/>
      <c r="B112" s="98" t="s">
        <v>834</v>
      </c>
    </row>
    <row r="113" spans="2:4" ht="18" customHeight="1">
      <c r="B113" s="592" t="s">
        <v>764</v>
      </c>
      <c r="C113" s="592"/>
      <c r="D113" s="592"/>
    </row>
  </sheetData>
  <sheetProtection selectLockedCells="1" selectUnlockedCells="1"/>
  <mergeCells count="19">
    <mergeCell ref="A5:AI5"/>
    <mergeCell ref="A6:AI6"/>
    <mergeCell ref="AG11:AI11"/>
    <mergeCell ref="AF12:AI12"/>
    <mergeCell ref="AI16:AI17"/>
    <mergeCell ref="A15:A17"/>
    <mergeCell ref="B15:B16"/>
    <mergeCell ref="C15:P15"/>
    <mergeCell ref="Q15:U16"/>
    <mergeCell ref="A106:B106"/>
    <mergeCell ref="B113:D113"/>
    <mergeCell ref="V15:AI15"/>
    <mergeCell ref="C16:F16"/>
    <mergeCell ref="G16:J16"/>
    <mergeCell ref="K16:O16"/>
    <mergeCell ref="P16:P17"/>
    <mergeCell ref="V16:Y16"/>
    <mergeCell ref="Z16:AC16"/>
    <mergeCell ref="AD16:AH16"/>
  </mergeCells>
  <printOptions/>
  <pageMargins left="0.30972222222222223" right="0.2" top="0.6" bottom="0.57" header="0.32" footer="0.42"/>
  <pageSetup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Q111"/>
  <sheetViews>
    <sheetView view="pageBreakPreview" zoomScale="75" zoomScaleNormal="66" zoomScaleSheetLayoutView="75" workbookViewId="0" topLeftCell="A1">
      <pane ySplit="20" topLeftCell="BM21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4.75390625" style="183" customWidth="1"/>
    <col min="2" max="2" width="29.50390625" style="2" customWidth="1"/>
    <col min="3" max="10" width="5.875" style="2" customWidth="1"/>
    <col min="11" max="16" width="5.75390625" style="2" customWidth="1"/>
    <col min="17" max="18" width="6.75390625" style="2" customWidth="1"/>
    <col min="19" max="19" width="8.375" style="2" customWidth="1"/>
    <col min="20" max="21" width="5.25390625" style="8" customWidth="1"/>
    <col min="22" max="23" width="5.25390625" style="2" customWidth="1"/>
    <col min="24" max="25" width="5.25390625" style="6" customWidth="1"/>
    <col min="26" max="27" width="5.25390625" style="2" customWidth="1"/>
    <col min="28" max="29" width="5.75390625" style="2" customWidth="1"/>
    <col min="30" max="33" width="5.50390625" style="2" customWidth="1"/>
    <col min="34" max="35" width="6.375" style="2" customWidth="1"/>
    <col min="36" max="38" width="5.625" style="2" customWidth="1"/>
    <col min="39" max="39" width="6.375" style="2" customWidth="1"/>
    <col min="40" max="40" width="5.875" style="2" customWidth="1"/>
    <col min="41" max="41" width="5.625" style="2" customWidth="1"/>
    <col min="42" max="42" width="5.875" style="2" customWidth="1"/>
    <col min="43" max="43" width="6.625" style="2" customWidth="1"/>
    <col min="44" max="44" width="2.875" style="2" customWidth="1"/>
    <col min="45" max="16384" width="9.00390625" style="2" customWidth="1"/>
  </cols>
  <sheetData>
    <row r="1" spans="1:43" ht="15.7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U1" s="186"/>
      <c r="V1" s="185"/>
      <c r="W1" s="185"/>
      <c r="X1" s="187"/>
      <c r="Y1" s="187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16" t="s">
        <v>835</v>
      </c>
    </row>
    <row r="2" spans="1:43" ht="15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6"/>
      <c r="U2" s="186"/>
      <c r="V2" s="185"/>
      <c r="W2" s="185"/>
      <c r="X2" s="187"/>
      <c r="Y2" s="187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6" t="s">
        <v>558</v>
      </c>
    </row>
    <row r="3" spans="1:43" ht="15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  <c r="V3" s="185"/>
      <c r="W3" s="185"/>
      <c r="X3" s="187"/>
      <c r="Y3" s="187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6" t="s">
        <v>559</v>
      </c>
    </row>
    <row r="4" spans="1:43" ht="15.7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6"/>
      <c r="V4" s="185"/>
      <c r="W4" s="185"/>
      <c r="X4" s="187"/>
      <c r="Y4" s="187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7"/>
    </row>
    <row r="5" spans="1:43" ht="15.75">
      <c r="A5" s="614" t="s">
        <v>836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</row>
    <row r="6" spans="1:43" ht="15.75">
      <c r="A6" s="614" t="s">
        <v>837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</row>
    <row r="7" spans="1:43" ht="15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  <c r="V7" s="185"/>
      <c r="W7" s="185"/>
      <c r="X7" s="187"/>
      <c r="Y7" s="187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7"/>
    </row>
    <row r="8" spans="1:43" ht="15.75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186"/>
      <c r="V8" s="185"/>
      <c r="W8" s="185"/>
      <c r="X8" s="187"/>
      <c r="Y8" s="187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607" t="s">
        <v>562</v>
      </c>
      <c r="AM8" s="607"/>
      <c r="AN8" s="607"/>
      <c r="AO8" s="607"/>
      <c r="AP8" s="607"/>
      <c r="AQ8" s="607"/>
    </row>
    <row r="9" spans="1:43" ht="15.75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86"/>
      <c r="V9" s="185"/>
      <c r="W9" s="185"/>
      <c r="X9" s="187"/>
      <c r="Y9" s="187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607" t="s">
        <v>769</v>
      </c>
      <c r="AM9" s="607"/>
      <c r="AN9" s="607"/>
      <c r="AO9" s="607"/>
      <c r="AP9" s="607"/>
      <c r="AQ9" s="607"/>
    </row>
    <row r="10" spans="1:43" ht="15.75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6"/>
      <c r="U10" s="186"/>
      <c r="V10" s="185"/>
      <c r="W10" s="185"/>
      <c r="X10" s="187"/>
      <c r="Y10" s="187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607" t="s">
        <v>770</v>
      </c>
      <c r="AM10" s="607"/>
      <c r="AN10" s="607"/>
      <c r="AO10" s="607"/>
      <c r="AP10" s="607"/>
      <c r="AQ10" s="607"/>
    </row>
    <row r="11" spans="1:43" ht="15.7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U11" s="186"/>
      <c r="V11" s="185"/>
      <c r="W11" s="185"/>
      <c r="X11" s="187"/>
      <c r="Y11" s="187"/>
      <c r="Z11" s="185"/>
      <c r="AA11" s="185"/>
      <c r="AB11" s="185"/>
      <c r="AC11" s="185"/>
      <c r="AD11" s="185"/>
      <c r="AE11" s="185"/>
      <c r="AF11" s="185"/>
      <c r="AG11" s="185"/>
      <c r="AH11" s="570"/>
      <c r="AI11" s="570"/>
      <c r="AJ11" s="185"/>
      <c r="AK11" s="185"/>
      <c r="AL11" s="613" t="s">
        <v>838</v>
      </c>
      <c r="AM11" s="613"/>
      <c r="AN11" s="613"/>
      <c r="AO11" s="613"/>
      <c r="AP11" s="613"/>
      <c r="AQ11" s="613"/>
    </row>
    <row r="12" spans="1:43" ht="15.75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186"/>
      <c r="V12" s="185"/>
      <c r="W12" s="185"/>
      <c r="X12" s="187"/>
      <c r="Y12" s="187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607" t="s">
        <v>772</v>
      </c>
      <c r="AM12" s="607"/>
      <c r="AN12" s="607"/>
      <c r="AO12" s="607"/>
      <c r="AP12" s="607"/>
      <c r="AQ12" s="607"/>
    </row>
    <row r="13" spans="1:43" ht="15.75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186"/>
      <c r="V13" s="185"/>
      <c r="W13" s="185"/>
      <c r="X13" s="187"/>
      <c r="Y13" s="187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Q13" s="116" t="s">
        <v>567</v>
      </c>
    </row>
    <row r="14" spans="1:43" ht="15.7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6"/>
      <c r="V14" s="185"/>
      <c r="W14" s="185"/>
      <c r="X14" s="187"/>
      <c r="Y14" s="187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</row>
    <row r="15" spans="1:43" s="189" customFormat="1" ht="23.25" customHeight="1">
      <c r="A15" s="609" t="s">
        <v>568</v>
      </c>
      <c r="B15" s="609" t="s">
        <v>839</v>
      </c>
      <c r="C15" s="609" t="s">
        <v>840</v>
      </c>
      <c r="D15" s="609"/>
      <c r="E15" s="609"/>
      <c r="F15" s="609"/>
      <c r="G15" s="609"/>
      <c r="H15" s="609"/>
      <c r="I15" s="609"/>
      <c r="J15" s="609"/>
      <c r="K15" s="609" t="s">
        <v>841</v>
      </c>
      <c r="L15" s="609"/>
      <c r="M15" s="609"/>
      <c r="N15" s="609"/>
      <c r="O15" s="609"/>
      <c r="P15" s="609"/>
      <c r="Q15" s="609"/>
      <c r="R15" s="609"/>
      <c r="S15" s="609" t="s">
        <v>842</v>
      </c>
      <c r="T15" s="611" t="s">
        <v>843</v>
      </c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1"/>
    </row>
    <row r="16" spans="1:43" s="189" customFormat="1" ht="16.5" customHeight="1">
      <c r="A16" s="609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1" t="s">
        <v>844</v>
      </c>
      <c r="U16" s="611"/>
      <c r="V16" s="611"/>
      <c r="W16" s="611"/>
      <c r="X16" s="611"/>
      <c r="Y16" s="611"/>
      <c r="Z16" s="611"/>
      <c r="AA16" s="611"/>
      <c r="AB16" s="611"/>
      <c r="AC16" s="611"/>
      <c r="AD16" s="609" t="s">
        <v>845</v>
      </c>
      <c r="AE16" s="609"/>
      <c r="AF16" s="609" t="s">
        <v>846</v>
      </c>
      <c r="AG16" s="609"/>
      <c r="AH16" s="609" t="s">
        <v>583</v>
      </c>
      <c r="AI16" s="609"/>
      <c r="AJ16" s="609" t="s">
        <v>844</v>
      </c>
      <c r="AK16" s="609"/>
      <c r="AL16" s="609"/>
      <c r="AM16" s="609"/>
      <c r="AN16" s="609"/>
      <c r="AO16" s="609" t="s">
        <v>845</v>
      </c>
      <c r="AP16" s="609" t="s">
        <v>846</v>
      </c>
      <c r="AQ16" s="609" t="s">
        <v>583</v>
      </c>
    </row>
    <row r="17" spans="1:43" s="189" customFormat="1" ht="68.25" customHeight="1">
      <c r="A17" s="609"/>
      <c r="B17" s="609"/>
      <c r="C17" s="612" t="s">
        <v>580</v>
      </c>
      <c r="D17" s="612"/>
      <c r="E17" s="609" t="s">
        <v>581</v>
      </c>
      <c r="F17" s="609"/>
      <c r="G17" s="609" t="s">
        <v>582</v>
      </c>
      <c r="H17" s="609"/>
      <c r="I17" s="609" t="s">
        <v>583</v>
      </c>
      <c r="J17" s="609"/>
      <c r="K17" s="609" t="s">
        <v>580</v>
      </c>
      <c r="L17" s="609"/>
      <c r="M17" s="609" t="s">
        <v>581</v>
      </c>
      <c r="N17" s="609"/>
      <c r="O17" s="609" t="s">
        <v>582</v>
      </c>
      <c r="P17" s="609"/>
      <c r="Q17" s="609" t="s">
        <v>583</v>
      </c>
      <c r="R17" s="609"/>
      <c r="S17" s="609"/>
      <c r="T17" s="611" t="s">
        <v>847</v>
      </c>
      <c r="U17" s="611"/>
      <c r="V17" s="609" t="s">
        <v>848</v>
      </c>
      <c r="W17" s="609"/>
      <c r="X17" s="609" t="s">
        <v>849</v>
      </c>
      <c r="Y17" s="609"/>
      <c r="Z17" s="609" t="s">
        <v>850</v>
      </c>
      <c r="AA17" s="609"/>
      <c r="AB17" s="609" t="s">
        <v>583</v>
      </c>
      <c r="AC17" s="609"/>
      <c r="AD17" s="609"/>
      <c r="AE17" s="609"/>
      <c r="AF17" s="609"/>
      <c r="AG17" s="609"/>
      <c r="AH17" s="609"/>
      <c r="AI17" s="609"/>
      <c r="AJ17" s="188" t="s">
        <v>847</v>
      </c>
      <c r="AK17" s="188" t="s">
        <v>848</v>
      </c>
      <c r="AL17" s="188" t="s">
        <v>849</v>
      </c>
      <c r="AM17" s="188" t="s">
        <v>850</v>
      </c>
      <c r="AN17" s="188" t="s">
        <v>583</v>
      </c>
      <c r="AO17" s="609"/>
      <c r="AP17" s="609"/>
      <c r="AQ17" s="609"/>
    </row>
    <row r="18" spans="1:43" s="189" customFormat="1" ht="27" customHeight="1">
      <c r="A18" s="609"/>
      <c r="B18" s="609"/>
      <c r="C18" s="612"/>
      <c r="D18" s="612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10" t="s">
        <v>590</v>
      </c>
      <c r="T18" s="611" t="s">
        <v>851</v>
      </c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08" t="s">
        <v>590</v>
      </c>
      <c r="AK18" s="608"/>
      <c r="AL18" s="608"/>
      <c r="AM18" s="608"/>
      <c r="AN18" s="608"/>
      <c r="AO18" s="608"/>
      <c r="AP18" s="608"/>
      <c r="AQ18" s="608"/>
    </row>
    <row r="19" spans="1:43" s="189" customFormat="1" ht="27" customHeight="1">
      <c r="A19" s="609"/>
      <c r="B19" s="609"/>
      <c r="C19" s="188" t="s">
        <v>588</v>
      </c>
      <c r="D19" s="188" t="s">
        <v>589</v>
      </c>
      <c r="E19" s="188" t="s">
        <v>588</v>
      </c>
      <c r="F19" s="188" t="s">
        <v>589</v>
      </c>
      <c r="G19" s="188" t="s">
        <v>588</v>
      </c>
      <c r="H19" s="190" t="s">
        <v>589</v>
      </c>
      <c r="I19" s="188" t="s">
        <v>588</v>
      </c>
      <c r="J19" s="188" t="s">
        <v>589</v>
      </c>
      <c r="K19" s="188" t="s">
        <v>588</v>
      </c>
      <c r="L19" s="188" t="s">
        <v>589</v>
      </c>
      <c r="M19" s="188" t="s">
        <v>588</v>
      </c>
      <c r="N19" s="188" t="s">
        <v>589</v>
      </c>
      <c r="O19" s="188" t="s">
        <v>588</v>
      </c>
      <c r="P19" s="188" t="s">
        <v>589</v>
      </c>
      <c r="Q19" s="188" t="s">
        <v>588</v>
      </c>
      <c r="R19" s="188" t="s">
        <v>589</v>
      </c>
      <c r="S19" s="610"/>
      <c r="T19" s="188" t="s">
        <v>588</v>
      </c>
      <c r="U19" s="188" t="s">
        <v>589</v>
      </c>
      <c r="V19" s="188" t="s">
        <v>588</v>
      </c>
      <c r="W19" s="188" t="s">
        <v>589</v>
      </c>
      <c r="X19" s="188" t="s">
        <v>588</v>
      </c>
      <c r="Y19" s="188" t="s">
        <v>589</v>
      </c>
      <c r="Z19" s="188" t="s">
        <v>588</v>
      </c>
      <c r="AA19" s="188" t="s">
        <v>589</v>
      </c>
      <c r="AB19" s="188" t="s">
        <v>588</v>
      </c>
      <c r="AC19" s="188" t="s">
        <v>589</v>
      </c>
      <c r="AD19" s="188" t="s">
        <v>588</v>
      </c>
      <c r="AE19" s="188" t="s">
        <v>589</v>
      </c>
      <c r="AF19" s="188" t="s">
        <v>588</v>
      </c>
      <c r="AG19" s="188" t="s">
        <v>589</v>
      </c>
      <c r="AH19" s="188" t="s">
        <v>588</v>
      </c>
      <c r="AI19" s="188" t="s">
        <v>589</v>
      </c>
      <c r="AJ19" s="608"/>
      <c r="AK19" s="608"/>
      <c r="AL19" s="608"/>
      <c r="AM19" s="608"/>
      <c r="AN19" s="608"/>
      <c r="AO19" s="608"/>
      <c r="AP19" s="608"/>
      <c r="AQ19" s="608"/>
    </row>
    <row r="20" spans="1:43" s="189" customFormat="1" ht="15">
      <c r="A20" s="191">
        <v>1</v>
      </c>
      <c r="B20" s="192">
        <v>2</v>
      </c>
      <c r="C20" s="193">
        <f>1+B20</f>
        <v>3</v>
      </c>
      <c r="D20" s="193">
        <v>4</v>
      </c>
      <c r="E20" s="192">
        <v>5</v>
      </c>
      <c r="F20" s="192">
        <v>6</v>
      </c>
      <c r="G20" s="192">
        <v>7</v>
      </c>
      <c r="H20" s="194">
        <v>8</v>
      </c>
      <c r="I20" s="192">
        <v>9</v>
      </c>
      <c r="J20" s="192">
        <v>10</v>
      </c>
      <c r="K20" s="192">
        <v>11</v>
      </c>
      <c r="L20" s="192">
        <v>12</v>
      </c>
      <c r="M20" s="192">
        <v>13</v>
      </c>
      <c r="N20" s="192">
        <v>14</v>
      </c>
      <c r="O20" s="192">
        <v>15</v>
      </c>
      <c r="P20" s="192">
        <v>16</v>
      </c>
      <c r="Q20" s="192">
        <v>17</v>
      </c>
      <c r="R20" s="192">
        <v>18</v>
      </c>
      <c r="S20" s="192">
        <v>19</v>
      </c>
      <c r="T20" s="192">
        <v>20</v>
      </c>
      <c r="U20" s="192">
        <f aca="true" t="shared" si="0" ref="U20:AQ20">1+T20</f>
        <v>21</v>
      </c>
      <c r="V20" s="192">
        <f t="shared" si="0"/>
        <v>22</v>
      </c>
      <c r="W20" s="192">
        <f t="shared" si="0"/>
        <v>23</v>
      </c>
      <c r="X20" s="192">
        <f t="shared" si="0"/>
        <v>24</v>
      </c>
      <c r="Y20" s="192">
        <f t="shared" si="0"/>
        <v>25</v>
      </c>
      <c r="Z20" s="192">
        <f t="shared" si="0"/>
        <v>26</v>
      </c>
      <c r="AA20" s="192">
        <f t="shared" si="0"/>
        <v>27</v>
      </c>
      <c r="AB20" s="192">
        <f t="shared" si="0"/>
        <v>28</v>
      </c>
      <c r="AC20" s="192">
        <f t="shared" si="0"/>
        <v>29</v>
      </c>
      <c r="AD20" s="192">
        <f t="shared" si="0"/>
        <v>30</v>
      </c>
      <c r="AE20" s="192">
        <f t="shared" si="0"/>
        <v>31</v>
      </c>
      <c r="AF20" s="192">
        <f t="shared" si="0"/>
        <v>32</v>
      </c>
      <c r="AG20" s="192">
        <f t="shared" si="0"/>
        <v>33</v>
      </c>
      <c r="AH20" s="192">
        <f t="shared" si="0"/>
        <v>34</v>
      </c>
      <c r="AI20" s="192">
        <f t="shared" si="0"/>
        <v>35</v>
      </c>
      <c r="AJ20" s="192">
        <f t="shared" si="0"/>
        <v>36</v>
      </c>
      <c r="AK20" s="192">
        <f t="shared" si="0"/>
        <v>37</v>
      </c>
      <c r="AL20" s="192">
        <f t="shared" si="0"/>
        <v>38</v>
      </c>
      <c r="AM20" s="192">
        <f t="shared" si="0"/>
        <v>39</v>
      </c>
      <c r="AN20" s="192">
        <f t="shared" si="0"/>
        <v>40</v>
      </c>
      <c r="AO20" s="192">
        <f t="shared" si="0"/>
        <v>41</v>
      </c>
      <c r="AP20" s="192">
        <f t="shared" si="0"/>
        <v>42</v>
      </c>
      <c r="AQ20" s="192">
        <f t="shared" si="0"/>
        <v>43</v>
      </c>
    </row>
    <row r="21" spans="1:43" s="189" customFormat="1" ht="15">
      <c r="A21" s="195"/>
      <c r="B21" s="196" t="s">
        <v>591</v>
      </c>
      <c r="C21" s="197">
        <f aca="true" t="shared" si="1" ref="C21:H21">C22+C100+C111</f>
        <v>11.72</v>
      </c>
      <c r="D21" s="197">
        <f t="shared" si="1"/>
        <v>4.32</v>
      </c>
      <c r="E21" s="197">
        <f t="shared" si="1"/>
        <v>25.679999999999996</v>
      </c>
      <c r="F21" s="197">
        <f t="shared" si="1"/>
        <v>1.55</v>
      </c>
      <c r="G21" s="197">
        <f t="shared" si="1"/>
        <v>3.4299999999999997</v>
      </c>
      <c r="H21" s="197">
        <f t="shared" si="1"/>
        <v>4.61</v>
      </c>
      <c r="I21" s="197">
        <f>C21+E21+G21</f>
        <v>40.83</v>
      </c>
      <c r="J21" s="197">
        <f aca="true" t="shared" si="2" ref="J21:J93">D21+F21+H21</f>
        <v>10.48</v>
      </c>
      <c r="K21" s="197">
        <f aca="true" t="shared" si="3" ref="K21:P21">K22+K100+K111</f>
        <v>11.57</v>
      </c>
      <c r="L21" s="197">
        <f t="shared" si="3"/>
        <v>3.95</v>
      </c>
      <c r="M21" s="197">
        <f t="shared" si="3"/>
        <v>18.049999999999997</v>
      </c>
      <c r="N21" s="197">
        <f t="shared" si="3"/>
        <v>1.55</v>
      </c>
      <c r="O21" s="197">
        <f t="shared" si="3"/>
        <v>3.4299999999999997</v>
      </c>
      <c r="P21" s="197">
        <f t="shared" si="3"/>
        <v>4.61</v>
      </c>
      <c r="Q21" s="197">
        <f>K21+M21+O21</f>
        <v>33.05</v>
      </c>
      <c r="R21" s="197">
        <f aca="true" t="shared" si="4" ref="R21:R93">L21+N21+P21</f>
        <v>10.11</v>
      </c>
      <c r="S21" s="197">
        <f aca="true" t="shared" si="5" ref="S21:AA21">S22+S100+S111</f>
        <v>317.8974576271186</v>
      </c>
      <c r="T21" s="197">
        <f t="shared" si="5"/>
        <v>0.8</v>
      </c>
      <c r="U21" s="197">
        <f t="shared" si="5"/>
        <v>0</v>
      </c>
      <c r="V21" s="197">
        <f t="shared" si="5"/>
        <v>9.66</v>
      </c>
      <c r="W21" s="197">
        <f t="shared" si="5"/>
        <v>1.0099999999999998</v>
      </c>
      <c r="X21" s="197">
        <f t="shared" si="5"/>
        <v>1.26</v>
      </c>
      <c r="Y21" s="197">
        <f t="shared" si="5"/>
        <v>3.31</v>
      </c>
      <c r="Z21" s="197">
        <f t="shared" si="5"/>
        <v>0</v>
      </c>
      <c r="AA21" s="197">
        <f t="shared" si="5"/>
        <v>0</v>
      </c>
      <c r="AB21" s="197">
        <f aca="true" t="shared" si="6" ref="AB21:AB93">T21+V21+X21+Z21</f>
        <v>11.72</v>
      </c>
      <c r="AC21" s="197">
        <f aca="true" t="shared" si="7" ref="AC21:AC93">U21+W21+Y21+AA21</f>
        <v>4.32</v>
      </c>
      <c r="AD21" s="197">
        <f>AD22+AD100+AD111</f>
        <v>25.679999999999996</v>
      </c>
      <c r="AE21" s="197">
        <f>AE22+AE100+AE111</f>
        <v>1.55</v>
      </c>
      <c r="AF21" s="197">
        <f>AF22+AF100+AF111</f>
        <v>3.4299999999999997</v>
      </c>
      <c r="AG21" s="197">
        <f>AG22+AG100+AG111</f>
        <v>4.61</v>
      </c>
      <c r="AH21" s="197">
        <f aca="true" t="shared" si="8" ref="AH21:AH93">AB21+AD21+AF21</f>
        <v>40.83</v>
      </c>
      <c r="AI21" s="197">
        <f aca="true" t="shared" si="9" ref="AI21:AI93">AC21+AE21+AG21</f>
        <v>10.48</v>
      </c>
      <c r="AJ21" s="197">
        <f>AJ22+AJ100+AJ111</f>
        <v>33.28000000000001</v>
      </c>
      <c r="AK21" s="197">
        <f>AK22+AK100+AK111</f>
        <v>39.645</v>
      </c>
      <c r="AL21" s="197">
        <f>AL22+AL100+AL111</f>
        <v>26.144999999999996</v>
      </c>
      <c r="AM21" s="197">
        <f>AM22+AM100+AM111</f>
        <v>15.51</v>
      </c>
      <c r="AN21" s="197">
        <f>AM21+AL21+AK21+AJ21</f>
        <v>114.58000000000001</v>
      </c>
      <c r="AO21" s="197">
        <f>AO22+AO100+AO111</f>
        <v>123.54899999999998</v>
      </c>
      <c r="AP21" s="197">
        <f>AP22+AP100+AP111</f>
        <v>136.99399999999997</v>
      </c>
      <c r="AQ21" s="198">
        <f>AQ22+AQ100+AQ111</f>
        <v>375.1190000000002</v>
      </c>
    </row>
    <row r="22" spans="1:43" s="189" customFormat="1" ht="24">
      <c r="A22" s="199" t="s">
        <v>592</v>
      </c>
      <c r="B22" s="200" t="s">
        <v>593</v>
      </c>
      <c r="C22" s="201">
        <f aca="true" t="shared" si="10" ref="C22:H22">C23+C94+C96+C98</f>
        <v>11.72</v>
      </c>
      <c r="D22" s="201">
        <f t="shared" si="10"/>
        <v>3.95</v>
      </c>
      <c r="E22" s="201">
        <f t="shared" si="10"/>
        <v>25.679999999999996</v>
      </c>
      <c r="F22" s="201">
        <f t="shared" si="10"/>
        <v>1.55</v>
      </c>
      <c r="G22" s="201">
        <f t="shared" si="10"/>
        <v>3.4299999999999997</v>
      </c>
      <c r="H22" s="201">
        <f t="shared" si="10"/>
        <v>4.61</v>
      </c>
      <c r="I22" s="201">
        <f>C22+E22+G22</f>
        <v>40.83</v>
      </c>
      <c r="J22" s="201">
        <f t="shared" si="2"/>
        <v>10.11</v>
      </c>
      <c r="K22" s="201">
        <f aca="true" t="shared" si="11" ref="K22:P22">K23+K94+K96+K98</f>
        <v>11.57</v>
      </c>
      <c r="L22" s="201">
        <f t="shared" si="11"/>
        <v>3.95</v>
      </c>
      <c r="M22" s="201">
        <f t="shared" si="11"/>
        <v>18.049999999999997</v>
      </c>
      <c r="N22" s="201">
        <f t="shared" si="11"/>
        <v>1.55</v>
      </c>
      <c r="O22" s="201">
        <f t="shared" si="11"/>
        <v>3.4299999999999997</v>
      </c>
      <c r="P22" s="201">
        <f t="shared" si="11"/>
        <v>4.61</v>
      </c>
      <c r="Q22" s="201">
        <f>K22+M22+O22</f>
        <v>33.05</v>
      </c>
      <c r="R22" s="201">
        <f t="shared" si="4"/>
        <v>10.11</v>
      </c>
      <c r="S22" s="201">
        <f aca="true" t="shared" si="12" ref="S22:AA22">S23+S94+S96+S98</f>
        <v>299.31271186440677</v>
      </c>
      <c r="T22" s="201">
        <f t="shared" si="12"/>
        <v>0.8</v>
      </c>
      <c r="U22" s="201">
        <f t="shared" si="12"/>
        <v>0</v>
      </c>
      <c r="V22" s="201">
        <f t="shared" si="12"/>
        <v>9.66</v>
      </c>
      <c r="W22" s="201">
        <f t="shared" si="12"/>
        <v>0.6399999999999999</v>
      </c>
      <c r="X22" s="201">
        <f t="shared" si="12"/>
        <v>1.26</v>
      </c>
      <c r="Y22" s="201">
        <f t="shared" si="12"/>
        <v>3.31</v>
      </c>
      <c r="Z22" s="201">
        <f t="shared" si="12"/>
        <v>0</v>
      </c>
      <c r="AA22" s="201">
        <f t="shared" si="12"/>
        <v>0</v>
      </c>
      <c r="AB22" s="201">
        <f t="shared" si="6"/>
        <v>11.72</v>
      </c>
      <c r="AC22" s="201">
        <f t="shared" si="7"/>
        <v>3.95</v>
      </c>
      <c r="AD22" s="201">
        <f>AD23+AD94+AD96+AD98</f>
        <v>25.679999999999996</v>
      </c>
      <c r="AE22" s="201">
        <f>AE23+AE94+AE96+AE98</f>
        <v>1.55</v>
      </c>
      <c r="AF22" s="201">
        <f>AF23+AF94+AF96+AF98</f>
        <v>3.4299999999999997</v>
      </c>
      <c r="AG22" s="201">
        <f>AG23+AG94+AG96+AG98</f>
        <v>4.61</v>
      </c>
      <c r="AH22" s="201">
        <f t="shared" si="8"/>
        <v>40.83</v>
      </c>
      <c r="AI22" s="201">
        <f t="shared" si="9"/>
        <v>10.11</v>
      </c>
      <c r="AJ22" s="201">
        <f>AJ23+AJ94+AJ96+AJ98</f>
        <v>32.410000000000004</v>
      </c>
      <c r="AK22" s="201">
        <f>AK23+AK94+AK96+AK98</f>
        <v>39.03</v>
      </c>
      <c r="AL22" s="201">
        <f>AL23+AL94+AL96+AL98</f>
        <v>24.049999999999997</v>
      </c>
      <c r="AM22" s="201">
        <f>AM23+AM94+AM96+AM98</f>
        <v>11.16</v>
      </c>
      <c r="AN22" s="201">
        <f>AM22+AL22+AK22+AJ22</f>
        <v>106.65</v>
      </c>
      <c r="AO22" s="201">
        <f>AO23+AO94+AO96+AO98</f>
        <v>116.49899999999998</v>
      </c>
      <c r="AP22" s="201">
        <f>AP23+AP94+AP96+AP98</f>
        <v>130.04399999999998</v>
      </c>
      <c r="AQ22" s="202">
        <f>AQ23+AQ94+AQ96+AQ98</f>
        <v>353.1890000000002</v>
      </c>
    </row>
    <row r="23" spans="1:43" s="189" customFormat="1" ht="24">
      <c r="A23" s="203" t="s">
        <v>594</v>
      </c>
      <c r="B23" s="204" t="s">
        <v>595</v>
      </c>
      <c r="C23" s="205">
        <f aca="true" t="shared" si="13" ref="C23:H23">SUM(C24:C93)</f>
        <v>11.72</v>
      </c>
      <c r="D23" s="205">
        <f t="shared" si="13"/>
        <v>3.95</v>
      </c>
      <c r="E23" s="205">
        <f t="shared" si="13"/>
        <v>25.679999999999996</v>
      </c>
      <c r="F23" s="205">
        <f t="shared" si="13"/>
        <v>1.55</v>
      </c>
      <c r="G23" s="205">
        <f t="shared" si="13"/>
        <v>3.4299999999999997</v>
      </c>
      <c r="H23" s="205">
        <f t="shared" si="13"/>
        <v>4.61</v>
      </c>
      <c r="I23" s="205">
        <f>C23+E23+G23</f>
        <v>40.83</v>
      </c>
      <c r="J23" s="205">
        <f t="shared" si="2"/>
        <v>10.11</v>
      </c>
      <c r="K23" s="205">
        <f aca="true" t="shared" si="14" ref="K23:P23">SUM(K24:K93)</f>
        <v>11.57</v>
      </c>
      <c r="L23" s="205">
        <f t="shared" si="14"/>
        <v>3.95</v>
      </c>
      <c r="M23" s="205">
        <f t="shared" si="14"/>
        <v>18.049999999999997</v>
      </c>
      <c r="N23" s="205">
        <f t="shared" si="14"/>
        <v>1.55</v>
      </c>
      <c r="O23" s="205">
        <f t="shared" si="14"/>
        <v>3.4299999999999997</v>
      </c>
      <c r="P23" s="205">
        <f t="shared" si="14"/>
        <v>4.61</v>
      </c>
      <c r="Q23" s="205">
        <f>K23+M23+O23</f>
        <v>33.05</v>
      </c>
      <c r="R23" s="205">
        <f t="shared" si="4"/>
        <v>10.11</v>
      </c>
      <c r="S23" s="205">
        <f aca="true" t="shared" si="15" ref="S23:AA23">SUM(S24:S93)</f>
        <v>299.31271186440677</v>
      </c>
      <c r="T23" s="205">
        <f t="shared" si="15"/>
        <v>0.8</v>
      </c>
      <c r="U23" s="205">
        <f t="shared" si="15"/>
        <v>0</v>
      </c>
      <c r="V23" s="205">
        <f t="shared" si="15"/>
        <v>9.66</v>
      </c>
      <c r="W23" s="205">
        <f t="shared" si="15"/>
        <v>0.6399999999999999</v>
      </c>
      <c r="X23" s="205">
        <f t="shared" si="15"/>
        <v>1.26</v>
      </c>
      <c r="Y23" s="205">
        <f t="shared" si="15"/>
        <v>3.31</v>
      </c>
      <c r="Z23" s="205">
        <f t="shared" si="15"/>
        <v>0</v>
      </c>
      <c r="AA23" s="205">
        <f t="shared" si="15"/>
        <v>0</v>
      </c>
      <c r="AB23" s="205">
        <f t="shared" si="6"/>
        <v>11.72</v>
      </c>
      <c r="AC23" s="205">
        <f t="shared" si="7"/>
        <v>3.95</v>
      </c>
      <c r="AD23" s="205">
        <f>SUM(AD24:AD93)</f>
        <v>25.679999999999996</v>
      </c>
      <c r="AE23" s="205">
        <f>SUM(AE24:AE93)</f>
        <v>1.55</v>
      </c>
      <c r="AF23" s="205">
        <f>SUM(AF24:AF93)</f>
        <v>3.4299999999999997</v>
      </c>
      <c r="AG23" s="205">
        <f>SUM(AG24:AG93)</f>
        <v>4.61</v>
      </c>
      <c r="AH23" s="205">
        <f t="shared" si="8"/>
        <v>40.83</v>
      </c>
      <c r="AI23" s="205">
        <f t="shared" si="9"/>
        <v>10.11</v>
      </c>
      <c r="AJ23" s="205">
        <f>SUM(AJ24:AJ93)</f>
        <v>32.410000000000004</v>
      </c>
      <c r="AK23" s="205">
        <f>SUM(AK24:AK93)</f>
        <v>39.03</v>
      </c>
      <c r="AL23" s="205">
        <f>SUM(AL24:AL93)</f>
        <v>24.049999999999997</v>
      </c>
      <c r="AM23" s="205">
        <f>SUM(AM24:AM93)</f>
        <v>11.16</v>
      </c>
      <c r="AN23" s="205">
        <f>AM23+AL23+AK23+AJ23</f>
        <v>106.65</v>
      </c>
      <c r="AO23" s="205">
        <f>SUM(AO24:AO93)</f>
        <v>116.49899999999998</v>
      </c>
      <c r="AP23" s="205">
        <f>SUM(AP24:AP93)</f>
        <v>130.04399999999998</v>
      </c>
      <c r="AQ23" s="206">
        <f>SUM(AQ24:AQ93)</f>
        <v>353.1890000000002</v>
      </c>
    </row>
    <row r="24" spans="1:43" s="189" customFormat="1" ht="35.25" customHeight="1">
      <c r="A24" s="207" t="s">
        <v>594</v>
      </c>
      <c r="B24" s="208" t="s">
        <v>597</v>
      </c>
      <c r="C24" s="209"/>
      <c r="D24" s="209">
        <v>1</v>
      </c>
      <c r="E24" s="210"/>
      <c r="F24" s="210"/>
      <c r="G24" s="210"/>
      <c r="H24" s="211"/>
      <c r="I24" s="212">
        <f aca="true" t="shared" si="16" ref="I24:I30">C24</f>
        <v>0</v>
      </c>
      <c r="J24" s="212">
        <f t="shared" si="2"/>
        <v>1</v>
      </c>
      <c r="K24" s="213"/>
      <c r="L24" s="213">
        <v>1</v>
      </c>
      <c r="M24" s="210"/>
      <c r="N24" s="210"/>
      <c r="O24" s="210"/>
      <c r="P24" s="210"/>
      <c r="Q24" s="212">
        <f aca="true" t="shared" si="17" ref="Q24:Q35">K24</f>
        <v>0</v>
      </c>
      <c r="R24" s="212">
        <f t="shared" si="4"/>
        <v>1</v>
      </c>
      <c r="S24" s="214">
        <f>'приложение 1.1'!I21/1.18</f>
        <v>10.466101694915256</v>
      </c>
      <c r="T24" s="215"/>
      <c r="U24" s="215"/>
      <c r="V24" s="210"/>
      <c r="W24" s="210"/>
      <c r="X24" s="209"/>
      <c r="Y24" s="209">
        <v>1</v>
      </c>
      <c r="Z24" s="210"/>
      <c r="AA24" s="210"/>
      <c r="AB24" s="210">
        <f t="shared" si="6"/>
        <v>0</v>
      </c>
      <c r="AC24" s="210">
        <f t="shared" si="7"/>
        <v>1</v>
      </c>
      <c r="AD24" s="210"/>
      <c r="AE24" s="210"/>
      <c r="AF24" s="210"/>
      <c r="AG24" s="210"/>
      <c r="AH24" s="210">
        <f t="shared" si="8"/>
        <v>0</v>
      </c>
      <c r="AI24" s="210">
        <f t="shared" si="9"/>
        <v>1</v>
      </c>
      <c r="AJ24" s="215">
        <v>1.39</v>
      </c>
      <c r="AK24" s="210"/>
      <c r="AL24" s="210">
        <f>3.89+7.07</f>
        <v>10.96</v>
      </c>
      <c r="AM24" s="210"/>
      <c r="AN24" s="210">
        <f aca="true" t="shared" si="18" ref="AN24:AN44">SUM(AJ24:AM24)</f>
        <v>12.350000000000001</v>
      </c>
      <c r="AO24" s="568"/>
      <c r="AP24" s="568"/>
      <c r="AQ24" s="216">
        <f>'приложение 1.1'!W21</f>
        <v>12.350000000000001</v>
      </c>
    </row>
    <row r="25" spans="1:43" s="189" customFormat="1" ht="48" customHeight="1">
      <c r="A25" s="217" t="s">
        <v>735</v>
      </c>
      <c r="B25" s="208" t="s">
        <v>324</v>
      </c>
      <c r="C25" s="218"/>
      <c r="D25" s="218" t="s">
        <v>26</v>
      </c>
      <c r="E25" s="219"/>
      <c r="F25" s="219"/>
      <c r="G25" s="219"/>
      <c r="H25" s="220"/>
      <c r="I25" s="219">
        <f t="shared" si="16"/>
        <v>0</v>
      </c>
      <c r="J25" s="219" t="s">
        <v>26</v>
      </c>
      <c r="K25" s="221"/>
      <c r="L25" s="221" t="s">
        <v>26</v>
      </c>
      <c r="M25" s="219"/>
      <c r="N25" s="219"/>
      <c r="O25" s="219"/>
      <c r="P25" s="219"/>
      <c r="Q25" s="219">
        <f t="shared" si="17"/>
        <v>0</v>
      </c>
      <c r="R25" s="219" t="s">
        <v>26</v>
      </c>
      <c r="S25" s="222">
        <f>'приложение 1.1'!I22/1.18</f>
        <v>2.0516949152542376</v>
      </c>
      <c r="T25" s="223"/>
      <c r="U25" s="223"/>
      <c r="V25" s="219"/>
      <c r="W25" s="219"/>
      <c r="X25" s="218"/>
      <c r="Y25" s="218"/>
      <c r="Z25" s="218"/>
      <c r="AA25" s="218" t="s">
        <v>26</v>
      </c>
      <c r="AB25" s="219">
        <f t="shared" si="6"/>
        <v>0</v>
      </c>
      <c r="AC25" s="219" t="s">
        <v>26</v>
      </c>
      <c r="AD25" s="219"/>
      <c r="AE25" s="219"/>
      <c r="AF25" s="219"/>
      <c r="AG25" s="219"/>
      <c r="AH25" s="219">
        <f t="shared" si="8"/>
        <v>0</v>
      </c>
      <c r="AI25" s="219" t="s">
        <v>26</v>
      </c>
      <c r="AJ25" s="224">
        <v>0.1</v>
      </c>
      <c r="AK25" s="219"/>
      <c r="AL25" s="219"/>
      <c r="AM25" s="219">
        <v>1.12</v>
      </c>
      <c r="AN25" s="219">
        <f t="shared" si="18"/>
        <v>1.2200000000000002</v>
      </c>
      <c r="AO25" s="569">
        <f>'приложение 1.1'!U22</f>
        <v>1.205</v>
      </c>
      <c r="AP25" s="569"/>
      <c r="AQ25" s="225">
        <f>'приложение 1.1'!W22</f>
        <v>2.4210000000000003</v>
      </c>
    </row>
    <row r="26" spans="1:43" s="189" customFormat="1" ht="39" customHeight="1">
      <c r="A26" s="217" t="s">
        <v>737</v>
      </c>
      <c r="B26" s="208" t="s">
        <v>325</v>
      </c>
      <c r="C26" s="218"/>
      <c r="D26" s="218" t="s">
        <v>26</v>
      </c>
      <c r="E26" s="219"/>
      <c r="F26" s="219"/>
      <c r="G26" s="219"/>
      <c r="H26" s="220"/>
      <c r="I26" s="219">
        <f t="shared" si="16"/>
        <v>0</v>
      </c>
      <c r="J26" s="219" t="s">
        <v>26</v>
      </c>
      <c r="K26" s="221"/>
      <c r="L26" s="221" t="s">
        <v>26</v>
      </c>
      <c r="M26" s="219"/>
      <c r="N26" s="219"/>
      <c r="O26" s="219"/>
      <c r="P26" s="219"/>
      <c r="Q26" s="219">
        <f t="shared" si="17"/>
        <v>0</v>
      </c>
      <c r="R26" s="219" t="s">
        <v>26</v>
      </c>
      <c r="S26" s="222">
        <f>'приложение 1.1'!I23/1.18</f>
        <v>0.33898305084745767</v>
      </c>
      <c r="T26" s="218"/>
      <c r="U26" s="218" t="s">
        <v>26</v>
      </c>
      <c r="V26" s="219"/>
      <c r="W26" s="219"/>
      <c r="X26" s="218"/>
      <c r="Y26" s="218"/>
      <c r="Z26" s="219"/>
      <c r="AA26" s="219"/>
      <c r="AB26" s="219">
        <f t="shared" si="6"/>
        <v>0</v>
      </c>
      <c r="AC26" s="219" t="s">
        <v>26</v>
      </c>
      <c r="AD26" s="219"/>
      <c r="AE26" s="219"/>
      <c r="AF26" s="219"/>
      <c r="AG26" s="219"/>
      <c r="AH26" s="219">
        <f t="shared" si="8"/>
        <v>0</v>
      </c>
      <c r="AI26" s="219" t="s">
        <v>26</v>
      </c>
      <c r="AJ26" s="223">
        <v>0.4</v>
      </c>
      <c r="AK26" s="219" t="s">
        <v>556</v>
      </c>
      <c r="AL26" s="219"/>
      <c r="AM26" s="219"/>
      <c r="AN26" s="219">
        <f t="shared" si="18"/>
        <v>0.4</v>
      </c>
      <c r="AO26" s="569"/>
      <c r="AP26" s="569"/>
      <c r="AQ26" s="225">
        <f>'приложение 1.1'!W23</f>
        <v>0.4</v>
      </c>
    </row>
    <row r="27" spans="1:43" s="189" customFormat="1" ht="18.75" customHeight="1">
      <c r="A27" s="226" t="s">
        <v>739</v>
      </c>
      <c r="B27" s="208" t="s">
        <v>603</v>
      </c>
      <c r="C27" s="218"/>
      <c r="D27" s="227" t="s">
        <v>26</v>
      </c>
      <c r="E27" s="228"/>
      <c r="F27" s="228"/>
      <c r="G27" s="228"/>
      <c r="H27" s="229"/>
      <c r="I27" s="219">
        <f t="shared" si="16"/>
        <v>0</v>
      </c>
      <c r="J27" s="219" t="s">
        <v>26</v>
      </c>
      <c r="K27" s="221"/>
      <c r="L27" s="221" t="s">
        <v>26</v>
      </c>
      <c r="M27" s="228"/>
      <c r="N27" s="228"/>
      <c r="O27" s="228"/>
      <c r="P27" s="228"/>
      <c r="Q27" s="219">
        <f t="shared" si="17"/>
        <v>0</v>
      </c>
      <c r="R27" s="219" t="s">
        <v>26</v>
      </c>
      <c r="S27" s="222">
        <f>'приложение 1.1'!I24/1.18</f>
        <v>0.9830508474576273</v>
      </c>
      <c r="T27" s="218"/>
      <c r="U27" s="218"/>
      <c r="V27" s="228"/>
      <c r="W27" s="228"/>
      <c r="X27" s="228"/>
      <c r="Y27" s="228"/>
      <c r="Z27" s="218"/>
      <c r="AA27" s="218" t="s">
        <v>26</v>
      </c>
      <c r="AB27" s="219">
        <f t="shared" si="6"/>
        <v>0</v>
      </c>
      <c r="AC27" s="219" t="s">
        <v>26</v>
      </c>
      <c r="AD27" s="228"/>
      <c r="AE27" s="228"/>
      <c r="AF27" s="228"/>
      <c r="AG27" s="228"/>
      <c r="AH27" s="219">
        <f t="shared" si="8"/>
        <v>0</v>
      </c>
      <c r="AI27" s="219" t="s">
        <v>26</v>
      </c>
      <c r="AJ27" s="230"/>
      <c r="AK27" s="228"/>
      <c r="AL27" s="228"/>
      <c r="AM27" s="228">
        <f>1.08+0.08</f>
        <v>1.1600000000000001</v>
      </c>
      <c r="AN27" s="219">
        <f t="shared" si="18"/>
        <v>1.1600000000000001</v>
      </c>
      <c r="AO27" s="569"/>
      <c r="AP27" s="569"/>
      <c r="AQ27" s="225">
        <f>'приложение 1.1'!W24</f>
        <v>1.1600000000000001</v>
      </c>
    </row>
    <row r="28" spans="1:43" s="189" customFormat="1" ht="30" customHeight="1">
      <c r="A28" s="226" t="s">
        <v>852</v>
      </c>
      <c r="B28" s="208" t="s">
        <v>605</v>
      </c>
      <c r="C28" s="218"/>
      <c r="D28" s="227" t="s">
        <v>26</v>
      </c>
      <c r="E28" s="228"/>
      <c r="F28" s="228"/>
      <c r="G28" s="228"/>
      <c r="H28" s="229"/>
      <c r="I28" s="219">
        <f t="shared" si="16"/>
        <v>0</v>
      </c>
      <c r="J28" s="219" t="s">
        <v>26</v>
      </c>
      <c r="K28" s="221"/>
      <c r="L28" s="221" t="s">
        <v>26</v>
      </c>
      <c r="M28" s="228"/>
      <c r="N28" s="228"/>
      <c r="O28" s="228"/>
      <c r="P28" s="228"/>
      <c r="Q28" s="219">
        <f t="shared" si="17"/>
        <v>0</v>
      </c>
      <c r="R28" s="219" t="s">
        <v>26</v>
      </c>
      <c r="S28" s="222">
        <f>'приложение 1.1'!I25/1.18</f>
        <v>2.0084745762711864</v>
      </c>
      <c r="T28" s="218"/>
      <c r="U28" s="218"/>
      <c r="V28" s="228"/>
      <c r="W28" s="228"/>
      <c r="X28" s="228"/>
      <c r="Y28" s="228"/>
      <c r="Z28" s="218"/>
      <c r="AA28" s="218" t="s">
        <v>26</v>
      </c>
      <c r="AB28" s="219">
        <f t="shared" si="6"/>
        <v>0</v>
      </c>
      <c r="AC28" s="219" t="s">
        <v>26</v>
      </c>
      <c r="AD28" s="228"/>
      <c r="AE28" s="228"/>
      <c r="AF28" s="228"/>
      <c r="AG28" s="228"/>
      <c r="AH28" s="219">
        <f t="shared" si="8"/>
        <v>0</v>
      </c>
      <c r="AI28" s="219" t="s">
        <v>26</v>
      </c>
      <c r="AJ28" s="230"/>
      <c r="AK28" s="228"/>
      <c r="AL28" s="228"/>
      <c r="AM28" s="228">
        <f>1.63+0.4+0.34</f>
        <v>2.3699999999999997</v>
      </c>
      <c r="AN28" s="219">
        <f t="shared" si="18"/>
        <v>2.3699999999999997</v>
      </c>
      <c r="AO28" s="569"/>
      <c r="AP28" s="569"/>
      <c r="AQ28" s="225">
        <f>AN28+AO28+AP28</f>
        <v>2.3699999999999997</v>
      </c>
    </row>
    <row r="29" spans="1:43" s="189" customFormat="1" ht="24">
      <c r="A29" s="226" t="s">
        <v>853</v>
      </c>
      <c r="B29" s="208" t="s">
        <v>607</v>
      </c>
      <c r="C29" s="218"/>
      <c r="D29" s="218" t="s">
        <v>26</v>
      </c>
      <c r="E29" s="228"/>
      <c r="F29" s="228"/>
      <c r="G29" s="228"/>
      <c r="H29" s="229"/>
      <c r="I29" s="219">
        <f t="shared" si="16"/>
        <v>0</v>
      </c>
      <c r="J29" s="219" t="s">
        <v>26</v>
      </c>
      <c r="K29" s="221"/>
      <c r="L29" s="221" t="s">
        <v>26</v>
      </c>
      <c r="M29" s="228"/>
      <c r="N29" s="228"/>
      <c r="O29" s="228"/>
      <c r="P29" s="228"/>
      <c r="Q29" s="219">
        <f t="shared" si="17"/>
        <v>0</v>
      </c>
      <c r="R29" s="219" t="s">
        <v>26</v>
      </c>
      <c r="S29" s="222">
        <f>'приложение 1.1'!I26/1.18</f>
        <v>0.9830508474576273</v>
      </c>
      <c r="T29" s="218"/>
      <c r="U29" s="218"/>
      <c r="V29" s="218"/>
      <c r="W29" s="218" t="s">
        <v>26</v>
      </c>
      <c r="X29" s="228"/>
      <c r="Y29" s="228"/>
      <c r="Z29" s="228"/>
      <c r="AA29" s="228"/>
      <c r="AB29" s="219">
        <f t="shared" si="6"/>
        <v>0</v>
      </c>
      <c r="AC29" s="219" t="s">
        <v>26</v>
      </c>
      <c r="AD29" s="228"/>
      <c r="AE29" s="228"/>
      <c r="AF29" s="228"/>
      <c r="AG29" s="228"/>
      <c r="AH29" s="219">
        <f t="shared" si="8"/>
        <v>0</v>
      </c>
      <c r="AI29" s="219" t="s">
        <v>26</v>
      </c>
      <c r="AJ29" s="228"/>
      <c r="AK29" s="228">
        <f>1.08+0.08</f>
        <v>1.1600000000000001</v>
      </c>
      <c r="AL29" s="228"/>
      <c r="AM29" s="228"/>
      <c r="AN29" s="219">
        <f t="shared" si="18"/>
        <v>1.1600000000000001</v>
      </c>
      <c r="AO29" s="569"/>
      <c r="AP29" s="569"/>
      <c r="AQ29" s="225">
        <f>'приложение 1.1'!W26</f>
        <v>1.1600000000000001</v>
      </c>
    </row>
    <row r="30" spans="1:43" s="189" customFormat="1" ht="15">
      <c r="A30" s="226" t="s">
        <v>854</v>
      </c>
      <c r="B30" s="208" t="s">
        <v>609</v>
      </c>
      <c r="C30" s="218">
        <v>8</v>
      </c>
      <c r="D30" s="218"/>
      <c r="E30" s="228"/>
      <c r="F30" s="228"/>
      <c r="G30" s="228"/>
      <c r="H30" s="229"/>
      <c r="I30" s="219">
        <f t="shared" si="16"/>
        <v>8</v>
      </c>
      <c r="J30" s="219">
        <f t="shared" si="2"/>
        <v>0</v>
      </c>
      <c r="K30" s="231">
        <v>8</v>
      </c>
      <c r="L30" s="231"/>
      <c r="M30" s="228"/>
      <c r="N30" s="228"/>
      <c r="O30" s="228"/>
      <c r="P30" s="228"/>
      <c r="Q30" s="219">
        <f t="shared" si="17"/>
        <v>8</v>
      </c>
      <c r="R30" s="219">
        <f t="shared" si="4"/>
        <v>0</v>
      </c>
      <c r="S30" s="222">
        <f>'приложение 1.1'!I27/1.18</f>
        <v>32.74576271186441</v>
      </c>
      <c r="T30" s="230"/>
      <c r="U30" s="230"/>
      <c r="V30" s="219">
        <v>8</v>
      </c>
      <c r="W30" s="219"/>
      <c r="X30" s="228"/>
      <c r="Y30" s="228"/>
      <c r="Z30" s="218"/>
      <c r="AA30" s="218"/>
      <c r="AB30" s="219">
        <f t="shared" si="6"/>
        <v>8</v>
      </c>
      <c r="AC30" s="219">
        <f t="shared" si="7"/>
        <v>0</v>
      </c>
      <c r="AD30" s="228"/>
      <c r="AE30" s="228"/>
      <c r="AF30" s="228"/>
      <c r="AG30" s="228"/>
      <c r="AH30" s="219">
        <f t="shared" si="8"/>
        <v>8</v>
      </c>
      <c r="AI30" s="219">
        <f t="shared" si="9"/>
        <v>0</v>
      </c>
      <c r="AJ30" s="230">
        <f>1.42+17.22</f>
        <v>18.64</v>
      </c>
      <c r="AK30" s="228">
        <v>20</v>
      </c>
      <c r="AL30" s="228"/>
      <c r="AM30" s="228"/>
      <c r="AN30" s="219">
        <f t="shared" si="18"/>
        <v>38.64</v>
      </c>
      <c r="AO30" s="569"/>
      <c r="AP30" s="569"/>
      <c r="AQ30" s="225">
        <f>'приложение 1.1'!W27</f>
        <v>38.64</v>
      </c>
    </row>
    <row r="31" spans="1:43" s="189" customFormat="1" ht="15">
      <c r="A31" s="226" t="s">
        <v>855</v>
      </c>
      <c r="B31" s="208" t="s">
        <v>611</v>
      </c>
      <c r="C31" s="218"/>
      <c r="D31" s="218"/>
      <c r="E31" s="228"/>
      <c r="F31" s="228"/>
      <c r="G31" s="228"/>
      <c r="H31" s="229"/>
      <c r="I31" s="219">
        <v>0</v>
      </c>
      <c r="J31" s="219">
        <f t="shared" si="2"/>
        <v>0</v>
      </c>
      <c r="K31" s="221"/>
      <c r="L31" s="221"/>
      <c r="M31" s="228"/>
      <c r="N31" s="228"/>
      <c r="O31" s="228"/>
      <c r="P31" s="228"/>
      <c r="Q31" s="219">
        <f t="shared" si="17"/>
        <v>0</v>
      </c>
      <c r="R31" s="219">
        <f t="shared" si="4"/>
        <v>0</v>
      </c>
      <c r="S31" s="222">
        <f>'приложение 1.1'!I28/1.18</f>
        <v>12.11864406779661</v>
      </c>
      <c r="T31" s="218"/>
      <c r="U31" s="218"/>
      <c r="V31" s="228"/>
      <c r="W31" s="228"/>
      <c r="X31" s="228"/>
      <c r="Y31" s="228"/>
      <c r="Z31" s="218"/>
      <c r="AA31" s="218"/>
      <c r="AB31" s="219">
        <f t="shared" si="6"/>
        <v>0</v>
      </c>
      <c r="AC31" s="219">
        <f t="shared" si="7"/>
        <v>0</v>
      </c>
      <c r="AD31" s="228"/>
      <c r="AE31" s="228"/>
      <c r="AF31" s="228"/>
      <c r="AG31" s="228"/>
      <c r="AH31" s="219">
        <f t="shared" si="8"/>
        <v>0</v>
      </c>
      <c r="AI31" s="219">
        <f t="shared" si="9"/>
        <v>0</v>
      </c>
      <c r="AJ31" s="230">
        <f>0.87+6.92</f>
        <v>7.79</v>
      </c>
      <c r="AK31" s="230"/>
      <c r="AL31" s="228"/>
      <c r="AM31" s="228">
        <v>6.51</v>
      </c>
      <c r="AN31" s="219">
        <f t="shared" si="18"/>
        <v>14.3</v>
      </c>
      <c r="AO31" s="569"/>
      <c r="AP31" s="569"/>
      <c r="AQ31" s="225">
        <f>'приложение 1.1'!W28</f>
        <v>14.299999999999999</v>
      </c>
    </row>
    <row r="32" spans="1:43" s="189" customFormat="1" ht="15">
      <c r="A32" s="226" t="s">
        <v>856</v>
      </c>
      <c r="B32" s="208" t="s">
        <v>613</v>
      </c>
      <c r="C32" s="218"/>
      <c r="D32" s="218"/>
      <c r="E32" s="228"/>
      <c r="F32" s="228"/>
      <c r="G32" s="228"/>
      <c r="H32" s="229"/>
      <c r="I32" s="219">
        <f>C32</f>
        <v>0</v>
      </c>
      <c r="J32" s="219">
        <f t="shared" si="2"/>
        <v>0</v>
      </c>
      <c r="K32" s="221"/>
      <c r="L32" s="221"/>
      <c r="M32" s="228"/>
      <c r="N32" s="228"/>
      <c r="O32" s="228"/>
      <c r="P32" s="228"/>
      <c r="Q32" s="219">
        <f t="shared" si="17"/>
        <v>0</v>
      </c>
      <c r="R32" s="219">
        <f t="shared" si="4"/>
        <v>0</v>
      </c>
      <c r="S32" s="222">
        <f>'приложение 1.1'!I29/1.18</f>
        <v>2.076271186440678</v>
      </c>
      <c r="T32" s="218"/>
      <c r="U32" s="218"/>
      <c r="V32" s="228"/>
      <c r="W32" s="228"/>
      <c r="X32" s="218"/>
      <c r="Y32" s="218"/>
      <c r="Z32" s="228"/>
      <c r="AA32" s="228"/>
      <c r="AB32" s="219">
        <f t="shared" si="6"/>
        <v>0</v>
      </c>
      <c r="AC32" s="219">
        <f t="shared" si="7"/>
        <v>0</v>
      </c>
      <c r="AD32" s="228"/>
      <c r="AE32" s="228"/>
      <c r="AF32" s="228"/>
      <c r="AG32" s="228"/>
      <c r="AH32" s="219">
        <f t="shared" si="8"/>
        <v>0</v>
      </c>
      <c r="AI32" s="219">
        <f t="shared" si="9"/>
        <v>0</v>
      </c>
      <c r="AJ32" s="230"/>
      <c r="AK32" s="230"/>
      <c r="AL32" s="228">
        <v>2.45</v>
      </c>
      <c r="AM32" s="228"/>
      <c r="AN32" s="219">
        <f t="shared" si="18"/>
        <v>2.45</v>
      </c>
      <c r="AO32" s="569"/>
      <c r="AP32" s="569"/>
      <c r="AQ32" s="225">
        <f>'приложение 1.1'!W29</f>
        <v>2.45</v>
      </c>
    </row>
    <row r="33" spans="1:43" s="189" customFormat="1" ht="15">
      <c r="A33" s="226" t="s">
        <v>857</v>
      </c>
      <c r="B33" s="572" t="s">
        <v>615</v>
      </c>
      <c r="C33" s="218">
        <v>1.26</v>
      </c>
      <c r="D33" s="218"/>
      <c r="E33" s="228"/>
      <c r="F33" s="228"/>
      <c r="G33" s="228"/>
      <c r="H33" s="229"/>
      <c r="I33" s="219">
        <f>C33</f>
        <v>1.26</v>
      </c>
      <c r="J33" s="219">
        <f t="shared" si="2"/>
        <v>0</v>
      </c>
      <c r="K33" s="221">
        <v>1.26</v>
      </c>
      <c r="L33" s="221"/>
      <c r="M33" s="228"/>
      <c r="N33" s="228"/>
      <c r="O33" s="228"/>
      <c r="P33" s="228"/>
      <c r="Q33" s="219">
        <f t="shared" si="17"/>
        <v>1.26</v>
      </c>
      <c r="R33" s="219">
        <f t="shared" si="4"/>
        <v>0</v>
      </c>
      <c r="S33" s="222">
        <f>'приложение 1.1'!I30/1.18</f>
        <v>6.7457627118644075</v>
      </c>
      <c r="T33" s="218"/>
      <c r="U33" s="218"/>
      <c r="V33" s="228"/>
      <c r="W33" s="228"/>
      <c r="X33" s="218">
        <v>1.26</v>
      </c>
      <c r="Y33" s="218"/>
      <c r="Z33" s="228"/>
      <c r="AA33" s="228"/>
      <c r="AB33" s="219">
        <f t="shared" si="6"/>
        <v>1.26</v>
      </c>
      <c r="AC33" s="219">
        <f t="shared" si="7"/>
        <v>0</v>
      </c>
      <c r="AD33" s="228"/>
      <c r="AE33" s="228"/>
      <c r="AF33" s="228"/>
      <c r="AG33" s="228"/>
      <c r="AH33" s="219">
        <f t="shared" si="8"/>
        <v>1.26</v>
      </c>
      <c r="AI33" s="219">
        <f t="shared" si="9"/>
        <v>0</v>
      </c>
      <c r="AJ33" s="230">
        <v>0.36</v>
      </c>
      <c r="AK33" s="228"/>
      <c r="AL33" s="232">
        <v>7.6</v>
      </c>
      <c r="AM33" s="228"/>
      <c r="AN33" s="219">
        <f t="shared" si="18"/>
        <v>7.96</v>
      </c>
      <c r="AO33" s="569"/>
      <c r="AP33" s="569"/>
      <c r="AQ33" s="225">
        <f>'приложение 1.1'!W30</f>
        <v>7.96</v>
      </c>
    </row>
    <row r="34" spans="1:43" s="189" customFormat="1" ht="15">
      <c r="A34" s="226" t="s">
        <v>858</v>
      </c>
      <c r="B34" s="572" t="s">
        <v>617</v>
      </c>
      <c r="C34" s="218"/>
      <c r="D34" s="218"/>
      <c r="E34" s="228"/>
      <c r="F34" s="228"/>
      <c r="G34" s="228"/>
      <c r="H34" s="229"/>
      <c r="I34" s="219">
        <f>C34</f>
        <v>0</v>
      </c>
      <c r="J34" s="219">
        <f t="shared" si="2"/>
        <v>0</v>
      </c>
      <c r="K34" s="221"/>
      <c r="L34" s="221"/>
      <c r="M34" s="228"/>
      <c r="N34" s="228"/>
      <c r="O34" s="228"/>
      <c r="P34" s="228"/>
      <c r="Q34" s="219">
        <f t="shared" si="17"/>
        <v>0</v>
      </c>
      <c r="R34" s="219">
        <f t="shared" si="4"/>
        <v>0</v>
      </c>
      <c r="S34" s="222">
        <f>'приложение 1.1'!I31/1.18</f>
        <v>2.415254237288136</v>
      </c>
      <c r="T34" s="230"/>
      <c r="U34" s="230"/>
      <c r="V34" s="218"/>
      <c r="W34" s="218"/>
      <c r="X34" s="228"/>
      <c r="Y34" s="228"/>
      <c r="Z34" s="228"/>
      <c r="AA34" s="228"/>
      <c r="AB34" s="219">
        <f t="shared" si="6"/>
        <v>0</v>
      </c>
      <c r="AC34" s="219">
        <f t="shared" si="7"/>
        <v>0</v>
      </c>
      <c r="AD34" s="228"/>
      <c r="AE34" s="228"/>
      <c r="AF34" s="228"/>
      <c r="AG34" s="228"/>
      <c r="AH34" s="219">
        <f t="shared" si="8"/>
        <v>0</v>
      </c>
      <c r="AI34" s="219">
        <f t="shared" si="9"/>
        <v>0</v>
      </c>
      <c r="AJ34" s="230"/>
      <c r="AK34" s="228">
        <v>2.85</v>
      </c>
      <c r="AL34" s="228"/>
      <c r="AM34" s="228"/>
      <c r="AN34" s="219">
        <f t="shared" si="18"/>
        <v>2.85</v>
      </c>
      <c r="AO34" s="569"/>
      <c r="AP34" s="569"/>
      <c r="AQ34" s="225">
        <f>'приложение 1.1'!W31</f>
        <v>2.85</v>
      </c>
    </row>
    <row r="35" spans="1:43" s="189" customFormat="1" ht="15">
      <c r="A35" s="226" t="s">
        <v>859</v>
      </c>
      <c r="B35" s="208" t="s">
        <v>619</v>
      </c>
      <c r="C35" s="218"/>
      <c r="D35" s="218"/>
      <c r="E35" s="228"/>
      <c r="F35" s="228"/>
      <c r="G35" s="228"/>
      <c r="H35" s="229"/>
      <c r="I35" s="219">
        <f>C35</f>
        <v>0</v>
      </c>
      <c r="J35" s="219">
        <f t="shared" si="2"/>
        <v>0</v>
      </c>
      <c r="K35" s="221"/>
      <c r="L35" s="221"/>
      <c r="M35" s="228"/>
      <c r="N35" s="228"/>
      <c r="O35" s="228"/>
      <c r="P35" s="228"/>
      <c r="Q35" s="219">
        <f t="shared" si="17"/>
        <v>0</v>
      </c>
      <c r="R35" s="219">
        <f t="shared" si="4"/>
        <v>0</v>
      </c>
      <c r="S35" s="222">
        <f>'приложение 1.1'!I32/1.18</f>
        <v>0.6440677966101696</v>
      </c>
      <c r="T35" s="230"/>
      <c r="U35" s="230"/>
      <c r="V35" s="218"/>
      <c r="W35" s="218"/>
      <c r="X35" s="228"/>
      <c r="Y35" s="228"/>
      <c r="Z35" s="228"/>
      <c r="AA35" s="228"/>
      <c r="AB35" s="219">
        <f t="shared" si="6"/>
        <v>0</v>
      </c>
      <c r="AC35" s="219">
        <f t="shared" si="7"/>
        <v>0</v>
      </c>
      <c r="AD35" s="228"/>
      <c r="AE35" s="228"/>
      <c r="AF35" s="228"/>
      <c r="AG35" s="228"/>
      <c r="AH35" s="219">
        <f t="shared" si="8"/>
        <v>0</v>
      </c>
      <c r="AI35" s="219">
        <f t="shared" si="9"/>
        <v>0</v>
      </c>
      <c r="AJ35" s="230">
        <v>0.03</v>
      </c>
      <c r="AK35" s="228">
        <v>0.73</v>
      </c>
      <c r="AL35" s="228"/>
      <c r="AM35" s="228"/>
      <c r="AN35" s="219">
        <f t="shared" si="18"/>
        <v>0.76</v>
      </c>
      <c r="AO35" s="569"/>
      <c r="AP35" s="569"/>
      <c r="AQ35" s="225">
        <f>'приложение 1.1'!W32</f>
        <v>0.76</v>
      </c>
    </row>
    <row r="36" spans="1:43" s="189" customFormat="1" ht="15">
      <c r="A36" s="226" t="s">
        <v>860</v>
      </c>
      <c r="B36" s="208" t="s">
        <v>621</v>
      </c>
      <c r="C36" s="218">
        <v>0.4</v>
      </c>
      <c r="D36" s="218"/>
      <c r="E36" s="228"/>
      <c r="F36" s="228"/>
      <c r="G36" s="228"/>
      <c r="H36" s="229"/>
      <c r="I36" s="219">
        <f aca="true" t="shared" si="19" ref="I36:I93">C36+E36+G36</f>
        <v>0.4</v>
      </c>
      <c r="J36" s="219">
        <f t="shared" si="2"/>
        <v>0</v>
      </c>
      <c r="K36" s="221">
        <v>0.25</v>
      </c>
      <c r="L36" s="221"/>
      <c r="M36" s="228"/>
      <c r="N36" s="228"/>
      <c r="O36" s="228"/>
      <c r="P36" s="228"/>
      <c r="Q36" s="219">
        <f aca="true" t="shared" si="20" ref="Q36:Q93">K36+M36+O36</f>
        <v>0.25</v>
      </c>
      <c r="R36" s="219">
        <f t="shared" si="4"/>
        <v>0</v>
      </c>
      <c r="S36" s="222">
        <f>'приложение 1.1'!I33/1.18</f>
        <v>0.7372881355932205</v>
      </c>
      <c r="T36" s="230"/>
      <c r="U36" s="230"/>
      <c r="V36" s="218">
        <v>0.4</v>
      </c>
      <c r="W36" s="218"/>
      <c r="X36" s="218"/>
      <c r="Y36" s="218"/>
      <c r="Z36" s="228"/>
      <c r="AA36" s="228"/>
      <c r="AB36" s="219">
        <f t="shared" si="6"/>
        <v>0.4</v>
      </c>
      <c r="AC36" s="219">
        <f t="shared" si="7"/>
        <v>0</v>
      </c>
      <c r="AD36" s="228"/>
      <c r="AE36" s="228"/>
      <c r="AF36" s="228"/>
      <c r="AG36" s="228"/>
      <c r="AH36" s="219">
        <f t="shared" si="8"/>
        <v>0.4</v>
      </c>
      <c r="AI36" s="219">
        <f t="shared" si="9"/>
        <v>0</v>
      </c>
      <c r="AJ36" s="230"/>
      <c r="AK36" s="228">
        <f>0.8+0.07</f>
        <v>0.8700000000000001</v>
      </c>
      <c r="AL36" s="228"/>
      <c r="AM36" s="228"/>
      <c r="AN36" s="219">
        <f t="shared" si="18"/>
        <v>0.8700000000000001</v>
      </c>
      <c r="AO36" s="569"/>
      <c r="AP36" s="569"/>
      <c r="AQ36" s="225">
        <f>'приложение 1.1'!W33</f>
        <v>0.8700000000000001</v>
      </c>
    </row>
    <row r="37" spans="1:43" s="189" customFormat="1" ht="15">
      <c r="A37" s="226" t="s">
        <v>861</v>
      </c>
      <c r="B37" s="208" t="s">
        <v>623</v>
      </c>
      <c r="C37" s="218">
        <v>1.26</v>
      </c>
      <c r="D37" s="218"/>
      <c r="E37" s="228"/>
      <c r="F37" s="228"/>
      <c r="G37" s="228"/>
      <c r="H37" s="229"/>
      <c r="I37" s="219">
        <f t="shared" si="19"/>
        <v>1.26</v>
      </c>
      <c r="J37" s="219">
        <f t="shared" si="2"/>
        <v>0</v>
      </c>
      <c r="K37" s="221">
        <v>1.26</v>
      </c>
      <c r="L37" s="221"/>
      <c r="M37" s="228"/>
      <c r="N37" s="228"/>
      <c r="O37" s="228"/>
      <c r="P37" s="228"/>
      <c r="Q37" s="219">
        <f t="shared" si="20"/>
        <v>1.26</v>
      </c>
      <c r="R37" s="219">
        <f t="shared" si="4"/>
        <v>0</v>
      </c>
      <c r="S37" s="222">
        <f>'приложение 1.1'!I34/1.18</f>
        <v>11.88135593220339</v>
      </c>
      <c r="T37" s="230"/>
      <c r="U37" s="230"/>
      <c r="V37" s="218">
        <v>1.26</v>
      </c>
      <c r="W37" s="218"/>
      <c r="X37" s="228"/>
      <c r="Y37" s="228"/>
      <c r="Z37" s="228"/>
      <c r="AA37" s="228"/>
      <c r="AB37" s="219">
        <f t="shared" si="6"/>
        <v>1.26</v>
      </c>
      <c r="AC37" s="219">
        <f t="shared" si="7"/>
        <v>0</v>
      </c>
      <c r="AD37" s="228"/>
      <c r="AE37" s="228"/>
      <c r="AF37" s="228"/>
      <c r="AG37" s="228"/>
      <c r="AH37" s="219">
        <f t="shared" si="8"/>
        <v>1.26</v>
      </c>
      <c r="AI37" s="219">
        <f t="shared" si="9"/>
        <v>0</v>
      </c>
      <c r="AJ37" s="230">
        <v>1.42</v>
      </c>
      <c r="AK37" s="228">
        <v>12.6</v>
      </c>
      <c r="AL37" s="228"/>
      <c r="AM37" s="228"/>
      <c r="AN37" s="219">
        <f t="shared" si="18"/>
        <v>14.02</v>
      </c>
      <c r="AO37" s="569"/>
      <c r="AP37" s="569"/>
      <c r="AQ37" s="225">
        <f>'приложение 1.1'!W34</f>
        <v>14.02</v>
      </c>
    </row>
    <row r="38" spans="1:43" s="189" customFormat="1" ht="15">
      <c r="A38" s="226" t="s">
        <v>862</v>
      </c>
      <c r="B38" s="208" t="s">
        <v>625</v>
      </c>
      <c r="C38" s="218">
        <v>0.8</v>
      </c>
      <c r="D38" s="218"/>
      <c r="E38" s="228"/>
      <c r="F38" s="228"/>
      <c r="G38" s="228"/>
      <c r="H38" s="229"/>
      <c r="I38" s="219">
        <f t="shared" si="19"/>
        <v>0.8</v>
      </c>
      <c r="J38" s="219">
        <f t="shared" si="2"/>
        <v>0</v>
      </c>
      <c r="K38" s="221">
        <v>0.8</v>
      </c>
      <c r="L38" s="221"/>
      <c r="M38" s="228"/>
      <c r="N38" s="228"/>
      <c r="O38" s="228"/>
      <c r="P38" s="228"/>
      <c r="Q38" s="219">
        <f t="shared" si="20"/>
        <v>0.8</v>
      </c>
      <c r="R38" s="219">
        <f t="shared" si="4"/>
        <v>0</v>
      </c>
      <c r="S38" s="222">
        <f>'приложение 1.1'!I35/1.18</f>
        <v>1.7796610169491527</v>
      </c>
      <c r="T38" s="218">
        <v>0.8</v>
      </c>
      <c r="U38" s="218"/>
      <c r="V38" s="218"/>
      <c r="W38" s="218"/>
      <c r="X38" s="228"/>
      <c r="Y38" s="228"/>
      <c r="Z38" s="228"/>
      <c r="AA38" s="228"/>
      <c r="AB38" s="219">
        <f t="shared" si="6"/>
        <v>0.8</v>
      </c>
      <c r="AC38" s="219">
        <f t="shared" si="7"/>
        <v>0</v>
      </c>
      <c r="AD38" s="228"/>
      <c r="AE38" s="228"/>
      <c r="AF38" s="228"/>
      <c r="AG38" s="228"/>
      <c r="AH38" s="219">
        <f t="shared" si="8"/>
        <v>0.8</v>
      </c>
      <c r="AI38" s="219">
        <f t="shared" si="9"/>
        <v>0</v>
      </c>
      <c r="AJ38" s="233">
        <f>1.97+0.13</f>
        <v>2.1</v>
      </c>
      <c r="AK38" s="228"/>
      <c r="AL38" s="228"/>
      <c r="AM38" s="228"/>
      <c r="AN38" s="219">
        <f t="shared" si="18"/>
        <v>2.1</v>
      </c>
      <c r="AO38" s="569"/>
      <c r="AP38" s="569"/>
      <c r="AQ38" s="225">
        <f>'приложение 1.1'!W35</f>
        <v>2.1</v>
      </c>
    </row>
    <row r="39" spans="1:43" s="189" customFormat="1" ht="15">
      <c r="A39" s="226" t="s">
        <v>863</v>
      </c>
      <c r="B39" s="208" t="s">
        <v>627</v>
      </c>
      <c r="C39" s="218"/>
      <c r="D39" s="218">
        <v>0.53</v>
      </c>
      <c r="E39" s="228"/>
      <c r="F39" s="228"/>
      <c r="G39" s="228"/>
      <c r="H39" s="229"/>
      <c r="I39" s="219">
        <f t="shared" si="19"/>
        <v>0</v>
      </c>
      <c r="J39" s="219">
        <f t="shared" si="2"/>
        <v>0.53</v>
      </c>
      <c r="K39" s="221"/>
      <c r="L39" s="221">
        <v>0.53</v>
      </c>
      <c r="M39" s="228"/>
      <c r="N39" s="228"/>
      <c r="O39" s="228"/>
      <c r="P39" s="228"/>
      <c r="Q39" s="219">
        <f t="shared" si="20"/>
        <v>0</v>
      </c>
      <c r="R39" s="219">
        <f t="shared" si="4"/>
        <v>0.53</v>
      </c>
      <c r="S39" s="222">
        <f>'приложение 1.1'!I36/1.18</f>
        <v>0.7627118644067796</v>
      </c>
      <c r="T39" s="230"/>
      <c r="U39" s="230"/>
      <c r="V39" s="228"/>
      <c r="W39" s="228"/>
      <c r="X39" s="218"/>
      <c r="Y39" s="218">
        <v>0.53</v>
      </c>
      <c r="Z39" s="228"/>
      <c r="AA39" s="228"/>
      <c r="AB39" s="219">
        <f t="shared" si="6"/>
        <v>0</v>
      </c>
      <c r="AC39" s="219">
        <f t="shared" si="7"/>
        <v>0.53</v>
      </c>
      <c r="AD39" s="228"/>
      <c r="AE39" s="228"/>
      <c r="AF39" s="228"/>
      <c r="AG39" s="228"/>
      <c r="AH39" s="219">
        <f t="shared" si="8"/>
        <v>0</v>
      </c>
      <c r="AI39" s="219">
        <f t="shared" si="9"/>
        <v>0.53</v>
      </c>
      <c r="AJ39" s="230">
        <v>0.18</v>
      </c>
      <c r="AK39" s="228"/>
      <c r="AL39" s="228">
        <v>0.72</v>
      </c>
      <c r="AM39" s="228"/>
      <c r="AN39" s="219">
        <f t="shared" si="18"/>
        <v>0.8999999999999999</v>
      </c>
      <c r="AO39" s="569"/>
      <c r="AP39" s="569"/>
      <c r="AQ39" s="225">
        <f>'приложение 1.1'!W36</f>
        <v>0.8999999999999999</v>
      </c>
    </row>
    <row r="40" spans="1:43" s="189" customFormat="1" ht="15">
      <c r="A40" s="226" t="s">
        <v>864</v>
      </c>
      <c r="B40" s="208" t="s">
        <v>629</v>
      </c>
      <c r="C40" s="218"/>
      <c r="D40" s="218">
        <v>0.22</v>
      </c>
      <c r="E40" s="228"/>
      <c r="F40" s="228"/>
      <c r="G40" s="228"/>
      <c r="H40" s="229"/>
      <c r="I40" s="219">
        <f t="shared" si="19"/>
        <v>0</v>
      </c>
      <c r="J40" s="219">
        <f t="shared" si="2"/>
        <v>0.22</v>
      </c>
      <c r="K40" s="221"/>
      <c r="L40" s="221">
        <v>0.22</v>
      </c>
      <c r="M40" s="228"/>
      <c r="N40" s="228"/>
      <c r="O40" s="228"/>
      <c r="P40" s="228"/>
      <c r="Q40" s="219">
        <f t="shared" si="20"/>
        <v>0</v>
      </c>
      <c r="R40" s="219">
        <f t="shared" si="4"/>
        <v>0.22</v>
      </c>
      <c r="S40" s="222">
        <f>'приложение 1.1'!I37/1.18</f>
        <v>0.25423728813559326</v>
      </c>
      <c r="T40" s="230"/>
      <c r="U40" s="230"/>
      <c r="V40" s="218"/>
      <c r="W40" s="218"/>
      <c r="X40" s="218"/>
      <c r="Y40" s="218">
        <v>0.22</v>
      </c>
      <c r="Z40" s="228"/>
      <c r="AA40" s="228"/>
      <c r="AB40" s="219">
        <f t="shared" si="6"/>
        <v>0</v>
      </c>
      <c r="AC40" s="219">
        <f t="shared" si="7"/>
        <v>0.22</v>
      </c>
      <c r="AD40" s="228"/>
      <c r="AE40" s="228"/>
      <c r="AF40" s="228"/>
      <c r="AG40" s="228"/>
      <c r="AH40" s="219">
        <f t="shared" si="8"/>
        <v>0</v>
      </c>
      <c r="AI40" s="219">
        <f t="shared" si="9"/>
        <v>0.22</v>
      </c>
      <c r="AJ40" s="230"/>
      <c r="AK40" s="228"/>
      <c r="AL40" s="232">
        <v>0.3</v>
      </c>
      <c r="AM40" s="228"/>
      <c r="AN40" s="219">
        <f t="shared" si="18"/>
        <v>0.3</v>
      </c>
      <c r="AO40" s="569"/>
      <c r="AP40" s="569"/>
      <c r="AQ40" s="225">
        <f>'приложение 1.1'!W37</f>
        <v>0.30000000000000004</v>
      </c>
    </row>
    <row r="41" spans="1:43" s="189" customFormat="1" ht="24">
      <c r="A41" s="226" t="s">
        <v>865</v>
      </c>
      <c r="B41" s="208" t="s">
        <v>631</v>
      </c>
      <c r="C41" s="218"/>
      <c r="D41" s="218">
        <v>0.7</v>
      </c>
      <c r="E41" s="228"/>
      <c r="F41" s="228"/>
      <c r="G41" s="228"/>
      <c r="H41" s="229"/>
      <c r="I41" s="219">
        <f t="shared" si="19"/>
        <v>0</v>
      </c>
      <c r="J41" s="219">
        <f t="shared" si="2"/>
        <v>0.7</v>
      </c>
      <c r="K41" s="221"/>
      <c r="L41" s="221">
        <v>0.7</v>
      </c>
      <c r="M41" s="228"/>
      <c r="N41" s="228"/>
      <c r="O41" s="228"/>
      <c r="P41" s="228"/>
      <c r="Q41" s="219">
        <f t="shared" si="20"/>
        <v>0</v>
      </c>
      <c r="R41" s="219">
        <f t="shared" si="4"/>
        <v>0.7</v>
      </c>
      <c r="S41" s="222">
        <f>'приложение 1.1'!I38/1.18</f>
        <v>0.8135593220338984</v>
      </c>
      <c r="T41" s="230"/>
      <c r="U41" s="230"/>
      <c r="V41" s="218"/>
      <c r="W41" s="218"/>
      <c r="X41" s="218"/>
      <c r="Y41" s="218">
        <v>0.7</v>
      </c>
      <c r="Z41" s="228"/>
      <c r="AA41" s="228"/>
      <c r="AB41" s="219">
        <f t="shared" si="6"/>
        <v>0</v>
      </c>
      <c r="AC41" s="219">
        <f t="shared" si="7"/>
        <v>0.7</v>
      </c>
      <c r="AD41" s="228"/>
      <c r="AE41" s="228"/>
      <c r="AF41" s="228"/>
      <c r="AG41" s="228"/>
      <c r="AH41" s="219">
        <f t="shared" si="8"/>
        <v>0</v>
      </c>
      <c r="AI41" s="219">
        <f t="shared" si="9"/>
        <v>0.7</v>
      </c>
      <c r="AJ41" s="230"/>
      <c r="AK41" s="228"/>
      <c r="AL41" s="228">
        <v>0.96</v>
      </c>
      <c r="AM41" s="228"/>
      <c r="AN41" s="219">
        <f t="shared" si="18"/>
        <v>0.96</v>
      </c>
      <c r="AO41" s="569"/>
      <c r="AP41" s="569"/>
      <c r="AQ41" s="225">
        <f>'приложение 1.1'!W38</f>
        <v>0.96</v>
      </c>
    </row>
    <row r="42" spans="1:43" s="189" customFormat="1" ht="24">
      <c r="A42" s="226" t="s">
        <v>866</v>
      </c>
      <c r="B42" s="208" t="s">
        <v>633</v>
      </c>
      <c r="C42" s="218"/>
      <c r="D42" s="218">
        <v>0.86</v>
      </c>
      <c r="E42" s="228"/>
      <c r="F42" s="228"/>
      <c r="G42" s="228"/>
      <c r="H42" s="229"/>
      <c r="I42" s="219">
        <f t="shared" si="19"/>
        <v>0</v>
      </c>
      <c r="J42" s="219">
        <f t="shared" si="2"/>
        <v>0.86</v>
      </c>
      <c r="K42" s="221"/>
      <c r="L42" s="221">
        <v>0.86</v>
      </c>
      <c r="M42" s="228"/>
      <c r="N42" s="228"/>
      <c r="O42" s="228"/>
      <c r="P42" s="228"/>
      <c r="Q42" s="219">
        <f t="shared" si="20"/>
        <v>0</v>
      </c>
      <c r="R42" s="219">
        <f t="shared" si="4"/>
        <v>0.86</v>
      </c>
      <c r="S42" s="222">
        <f>'приложение 1.1'!I39/1.18</f>
        <v>0.8983050847457628</v>
      </c>
      <c r="T42" s="230"/>
      <c r="U42" s="230"/>
      <c r="V42" s="218"/>
      <c r="W42" s="218"/>
      <c r="X42" s="218"/>
      <c r="Y42" s="218">
        <v>0.86</v>
      </c>
      <c r="Z42" s="228"/>
      <c r="AA42" s="228"/>
      <c r="AB42" s="219">
        <f t="shared" si="6"/>
        <v>0</v>
      </c>
      <c r="AC42" s="219">
        <f t="shared" si="7"/>
        <v>0.86</v>
      </c>
      <c r="AD42" s="228"/>
      <c r="AE42" s="228"/>
      <c r="AF42" s="228"/>
      <c r="AG42" s="228"/>
      <c r="AH42" s="219">
        <f t="shared" si="8"/>
        <v>0</v>
      </c>
      <c r="AI42" s="219">
        <f t="shared" si="9"/>
        <v>0.86</v>
      </c>
      <c r="AJ42" s="230"/>
      <c r="AK42" s="228"/>
      <c r="AL42" s="228">
        <v>1.06</v>
      </c>
      <c r="AM42" s="228"/>
      <c r="AN42" s="219">
        <f t="shared" si="18"/>
        <v>1.06</v>
      </c>
      <c r="AO42" s="569"/>
      <c r="AP42" s="569"/>
      <c r="AQ42" s="225">
        <f>'приложение 1.1'!W39</f>
        <v>1.06</v>
      </c>
    </row>
    <row r="43" spans="1:43" s="189" customFormat="1" ht="15">
      <c r="A43" s="226" t="s">
        <v>867</v>
      </c>
      <c r="B43" s="208" t="s">
        <v>635</v>
      </c>
      <c r="C43" s="234"/>
      <c r="D43" s="234">
        <v>0.35</v>
      </c>
      <c r="E43" s="235"/>
      <c r="F43" s="235"/>
      <c r="G43" s="235"/>
      <c r="H43" s="236"/>
      <c r="I43" s="219">
        <f t="shared" si="19"/>
        <v>0</v>
      </c>
      <c r="J43" s="219">
        <f t="shared" si="2"/>
        <v>0.35</v>
      </c>
      <c r="K43" s="237"/>
      <c r="L43" s="238">
        <v>0.35</v>
      </c>
      <c r="M43" s="228"/>
      <c r="N43" s="228"/>
      <c r="O43" s="228"/>
      <c r="P43" s="228"/>
      <c r="Q43" s="219">
        <f t="shared" si="20"/>
        <v>0</v>
      </c>
      <c r="R43" s="219">
        <f t="shared" si="4"/>
        <v>0.35</v>
      </c>
      <c r="S43" s="222">
        <f>'приложение 1.1'!I40/1.18</f>
        <v>0.3559322033898305</v>
      </c>
      <c r="T43" s="230"/>
      <c r="U43" s="230"/>
      <c r="V43" s="234"/>
      <c r="W43" s="227">
        <v>0.35</v>
      </c>
      <c r="X43" s="228"/>
      <c r="Y43" s="228"/>
      <c r="Z43" s="228"/>
      <c r="AA43" s="228"/>
      <c r="AB43" s="219">
        <f t="shared" si="6"/>
        <v>0</v>
      </c>
      <c r="AC43" s="219">
        <f t="shared" si="7"/>
        <v>0.35</v>
      </c>
      <c r="AD43" s="228"/>
      <c r="AE43" s="228"/>
      <c r="AF43" s="228"/>
      <c r="AG43" s="228"/>
      <c r="AH43" s="219">
        <f t="shared" si="8"/>
        <v>0</v>
      </c>
      <c r="AI43" s="219">
        <f t="shared" si="9"/>
        <v>0.35</v>
      </c>
      <c r="AJ43" s="230"/>
      <c r="AK43" s="228">
        <v>0.42</v>
      </c>
      <c r="AL43" s="228"/>
      <c r="AM43" s="228"/>
      <c r="AN43" s="219">
        <f t="shared" si="18"/>
        <v>0.42</v>
      </c>
      <c r="AO43" s="569"/>
      <c r="AP43" s="569"/>
      <c r="AQ43" s="225">
        <f>'приложение 1.1'!W40</f>
        <v>0.42</v>
      </c>
    </row>
    <row r="44" spans="1:43" s="189" customFormat="1" ht="15">
      <c r="A44" s="226" t="s">
        <v>868</v>
      </c>
      <c r="B44" s="208" t="s">
        <v>637</v>
      </c>
      <c r="C44" s="218"/>
      <c r="D44" s="218">
        <v>0.29</v>
      </c>
      <c r="E44" s="239"/>
      <c r="F44" s="239"/>
      <c r="G44" s="239"/>
      <c r="H44" s="240"/>
      <c r="I44" s="219">
        <f t="shared" si="19"/>
        <v>0</v>
      </c>
      <c r="J44" s="219">
        <f t="shared" si="2"/>
        <v>0.29</v>
      </c>
      <c r="K44" s="221"/>
      <c r="L44" s="221">
        <v>0.29</v>
      </c>
      <c r="M44" s="228"/>
      <c r="N44" s="228"/>
      <c r="O44" s="228"/>
      <c r="P44" s="228"/>
      <c r="Q44" s="219">
        <f t="shared" si="20"/>
        <v>0</v>
      </c>
      <c r="R44" s="219">
        <f t="shared" si="4"/>
        <v>0.29</v>
      </c>
      <c r="S44" s="222">
        <f>'приложение 1.1'!I41/1.18</f>
        <v>0.33898305084745767</v>
      </c>
      <c r="T44" s="241"/>
      <c r="U44" s="241"/>
      <c r="V44" s="218"/>
      <c r="W44" s="218">
        <v>0.29</v>
      </c>
      <c r="X44" s="239"/>
      <c r="Y44" s="239"/>
      <c r="Z44" s="239"/>
      <c r="AA44" s="239"/>
      <c r="AB44" s="219">
        <f t="shared" si="6"/>
        <v>0</v>
      </c>
      <c r="AC44" s="219">
        <f t="shared" si="7"/>
        <v>0.29</v>
      </c>
      <c r="AD44" s="239"/>
      <c r="AE44" s="239"/>
      <c r="AF44" s="239"/>
      <c r="AG44" s="239"/>
      <c r="AH44" s="219">
        <f t="shared" si="8"/>
        <v>0</v>
      </c>
      <c r="AI44" s="219">
        <f t="shared" si="9"/>
        <v>0.29</v>
      </c>
      <c r="AJ44" s="241"/>
      <c r="AK44" s="232">
        <v>0.4</v>
      </c>
      <c r="AL44" s="239"/>
      <c r="AM44" s="239"/>
      <c r="AN44" s="219">
        <f t="shared" si="18"/>
        <v>0.4</v>
      </c>
      <c r="AO44" s="569"/>
      <c r="AP44" s="569"/>
      <c r="AQ44" s="225">
        <f>'приложение 1.1'!W41</f>
        <v>0.4</v>
      </c>
    </row>
    <row r="45" spans="1:43" s="189" customFormat="1" ht="15">
      <c r="A45" s="226" t="s">
        <v>869</v>
      </c>
      <c r="B45" s="242" t="s">
        <v>640</v>
      </c>
      <c r="C45" s="218"/>
      <c r="D45" s="218"/>
      <c r="E45" s="239"/>
      <c r="F45" s="239"/>
      <c r="G45" s="239"/>
      <c r="H45" s="240"/>
      <c r="I45" s="219">
        <f t="shared" si="19"/>
        <v>0</v>
      </c>
      <c r="J45" s="219">
        <f t="shared" si="2"/>
        <v>0</v>
      </c>
      <c r="K45" s="221"/>
      <c r="L45" s="221"/>
      <c r="M45" s="228"/>
      <c r="N45" s="228"/>
      <c r="O45" s="228"/>
      <c r="P45" s="228"/>
      <c r="Q45" s="219">
        <f t="shared" si="20"/>
        <v>0</v>
      </c>
      <c r="R45" s="219">
        <f t="shared" si="4"/>
        <v>0</v>
      </c>
      <c r="S45" s="222">
        <f>'приложение 1.1'!I42/1.18</f>
        <v>1.1898305084745762</v>
      </c>
      <c r="T45" s="241"/>
      <c r="U45" s="241"/>
      <c r="V45" s="218"/>
      <c r="W45" s="218"/>
      <c r="X45" s="218"/>
      <c r="Y45" s="218"/>
      <c r="Z45" s="239"/>
      <c r="AA45" s="239"/>
      <c r="AB45" s="219">
        <f t="shared" si="6"/>
        <v>0</v>
      </c>
      <c r="AC45" s="219">
        <f t="shared" si="7"/>
        <v>0</v>
      </c>
      <c r="AD45" s="239"/>
      <c r="AE45" s="239"/>
      <c r="AF45" s="239"/>
      <c r="AG45" s="239"/>
      <c r="AH45" s="219">
        <f t="shared" si="8"/>
        <v>0</v>
      </c>
      <c r="AI45" s="219">
        <f t="shared" si="9"/>
        <v>0</v>
      </c>
      <c r="AJ45" s="241"/>
      <c r="AK45" s="239"/>
      <c r="AL45" s="239"/>
      <c r="AM45" s="239"/>
      <c r="AN45" s="219"/>
      <c r="AO45" s="569">
        <f>'приложение 1.1'!U42</f>
        <v>1.404</v>
      </c>
      <c r="AP45" s="569"/>
      <c r="AQ45" s="225">
        <f>'приложение 1.1'!W42</f>
        <v>1.404</v>
      </c>
    </row>
    <row r="46" spans="1:43" s="189" customFormat="1" ht="15">
      <c r="A46" s="226" t="s">
        <v>870</v>
      </c>
      <c r="B46" s="242" t="s">
        <v>642</v>
      </c>
      <c r="C46" s="218"/>
      <c r="D46" s="218"/>
      <c r="E46" s="239"/>
      <c r="F46" s="239">
        <v>0.54</v>
      </c>
      <c r="G46" s="239"/>
      <c r="H46" s="240"/>
      <c r="I46" s="219">
        <f t="shared" si="19"/>
        <v>0</v>
      </c>
      <c r="J46" s="219">
        <f t="shared" si="2"/>
        <v>0.54</v>
      </c>
      <c r="K46" s="221"/>
      <c r="L46" s="221"/>
      <c r="M46" s="228"/>
      <c r="N46" s="228">
        <v>0.54</v>
      </c>
      <c r="O46" s="228"/>
      <c r="P46" s="228"/>
      <c r="Q46" s="219">
        <f t="shared" si="20"/>
        <v>0</v>
      </c>
      <c r="R46" s="219">
        <f t="shared" si="4"/>
        <v>0.54</v>
      </c>
      <c r="S46" s="222">
        <f>'приложение 1.1'!I43/1.18</f>
        <v>0.2491525423728814</v>
      </c>
      <c r="T46" s="241"/>
      <c r="U46" s="241"/>
      <c r="V46" s="218"/>
      <c r="W46" s="218"/>
      <c r="X46" s="218"/>
      <c r="Y46" s="218"/>
      <c r="Z46" s="239"/>
      <c r="AA46" s="239"/>
      <c r="AB46" s="219">
        <f t="shared" si="6"/>
        <v>0</v>
      </c>
      <c r="AC46" s="219">
        <f t="shared" si="7"/>
        <v>0</v>
      </c>
      <c r="AD46" s="239"/>
      <c r="AE46" s="239">
        <v>0.54</v>
      </c>
      <c r="AF46" s="239"/>
      <c r="AG46" s="239"/>
      <c r="AH46" s="219">
        <f t="shared" si="8"/>
        <v>0</v>
      </c>
      <c r="AI46" s="219">
        <f t="shared" si="9"/>
        <v>0.54</v>
      </c>
      <c r="AJ46" s="241"/>
      <c r="AK46" s="239"/>
      <c r="AL46" s="239"/>
      <c r="AM46" s="239"/>
      <c r="AN46" s="219"/>
      <c r="AO46" s="569">
        <f>'приложение 1.1'!U43</f>
        <v>0.29400000000000004</v>
      </c>
      <c r="AP46" s="569"/>
      <c r="AQ46" s="225">
        <f>'приложение 1.1'!W43</f>
        <v>0.29400000000000004</v>
      </c>
    </row>
    <row r="47" spans="1:43" s="189" customFormat="1" ht="15">
      <c r="A47" s="226" t="s">
        <v>871</v>
      </c>
      <c r="B47" s="242" t="s">
        <v>96</v>
      </c>
      <c r="C47" s="241"/>
      <c r="D47" s="241"/>
      <c r="E47" s="239"/>
      <c r="F47" s="239"/>
      <c r="G47" s="239"/>
      <c r="H47" s="240"/>
      <c r="I47" s="219">
        <f t="shared" si="19"/>
        <v>0</v>
      </c>
      <c r="J47" s="219">
        <f t="shared" si="2"/>
        <v>0</v>
      </c>
      <c r="K47" s="221"/>
      <c r="L47" s="221"/>
      <c r="M47" s="228"/>
      <c r="N47" s="228"/>
      <c r="O47" s="228"/>
      <c r="P47" s="228"/>
      <c r="Q47" s="219">
        <f t="shared" si="20"/>
        <v>0</v>
      </c>
      <c r="R47" s="219">
        <f t="shared" si="4"/>
        <v>0</v>
      </c>
      <c r="S47" s="222">
        <f>'приложение 1.1'!I44/1.18</f>
        <v>1.0177966101694917</v>
      </c>
      <c r="T47" s="241"/>
      <c r="U47" s="241"/>
      <c r="V47" s="218"/>
      <c r="W47" s="218"/>
      <c r="X47" s="218"/>
      <c r="Y47" s="218"/>
      <c r="Z47" s="239"/>
      <c r="AA47" s="239"/>
      <c r="AB47" s="219">
        <f t="shared" si="6"/>
        <v>0</v>
      </c>
      <c r="AC47" s="219">
        <f t="shared" si="7"/>
        <v>0</v>
      </c>
      <c r="AD47" s="239"/>
      <c r="AE47" s="239"/>
      <c r="AF47" s="239"/>
      <c r="AG47" s="239"/>
      <c r="AH47" s="219">
        <f t="shared" si="8"/>
        <v>0</v>
      </c>
      <c r="AI47" s="219">
        <f t="shared" si="9"/>
        <v>0</v>
      </c>
      <c r="AJ47" s="241"/>
      <c r="AK47" s="239"/>
      <c r="AL47" s="239"/>
      <c r="AM47" s="239"/>
      <c r="AN47" s="219"/>
      <c r="AO47" s="569">
        <f>'приложение 1.1'!U44</f>
        <v>1.201</v>
      </c>
      <c r="AP47" s="569"/>
      <c r="AQ47" s="225">
        <f>'приложение 1.1'!W44</f>
        <v>1.201</v>
      </c>
    </row>
    <row r="48" spans="1:43" s="189" customFormat="1" ht="15">
      <c r="A48" s="226" t="s">
        <v>872</v>
      </c>
      <c r="B48" s="242" t="s">
        <v>645</v>
      </c>
      <c r="C48" s="241"/>
      <c r="D48" s="241"/>
      <c r="E48" s="239"/>
      <c r="F48" s="239"/>
      <c r="G48" s="239"/>
      <c r="H48" s="240"/>
      <c r="I48" s="219">
        <f t="shared" si="19"/>
        <v>0</v>
      </c>
      <c r="J48" s="219">
        <f t="shared" si="2"/>
        <v>0</v>
      </c>
      <c r="K48" s="221"/>
      <c r="L48" s="221"/>
      <c r="M48" s="228"/>
      <c r="N48" s="228"/>
      <c r="O48" s="228"/>
      <c r="P48" s="228"/>
      <c r="Q48" s="219">
        <f t="shared" si="20"/>
        <v>0</v>
      </c>
      <c r="R48" s="219">
        <f t="shared" si="4"/>
        <v>0</v>
      </c>
      <c r="S48" s="222">
        <f>'приложение 1.1'!I45/1.18</f>
        <v>7.809322033898305</v>
      </c>
      <c r="T48" s="241"/>
      <c r="U48" s="241"/>
      <c r="V48" s="241"/>
      <c r="W48" s="241"/>
      <c r="X48" s="218"/>
      <c r="Y48" s="218"/>
      <c r="Z48" s="239"/>
      <c r="AA48" s="239"/>
      <c r="AB48" s="219">
        <f t="shared" si="6"/>
        <v>0</v>
      </c>
      <c r="AC48" s="219">
        <f t="shared" si="7"/>
        <v>0</v>
      </c>
      <c r="AD48" s="239"/>
      <c r="AE48" s="239"/>
      <c r="AF48" s="239"/>
      <c r="AG48" s="239"/>
      <c r="AH48" s="219">
        <f t="shared" si="8"/>
        <v>0</v>
      </c>
      <c r="AI48" s="219">
        <f t="shared" si="9"/>
        <v>0</v>
      </c>
      <c r="AJ48" s="241"/>
      <c r="AK48" s="239"/>
      <c r="AL48" s="239"/>
      <c r="AM48" s="239"/>
      <c r="AN48" s="219"/>
      <c r="AO48" s="569">
        <f>'приложение 1.1'!U45</f>
        <v>9.215</v>
      </c>
      <c r="AP48" s="569"/>
      <c r="AQ48" s="225">
        <f>'приложение 1.1'!W45</f>
        <v>9.215</v>
      </c>
    </row>
    <row r="49" spans="1:43" s="189" customFormat="1" ht="15">
      <c r="A49" s="226" t="s">
        <v>873</v>
      </c>
      <c r="B49" s="242" t="s">
        <v>647</v>
      </c>
      <c r="C49" s="241"/>
      <c r="D49" s="241"/>
      <c r="E49" s="239"/>
      <c r="F49" s="239"/>
      <c r="G49" s="239"/>
      <c r="H49" s="240"/>
      <c r="I49" s="219">
        <f t="shared" si="19"/>
        <v>0</v>
      </c>
      <c r="J49" s="219">
        <f t="shared" si="2"/>
        <v>0</v>
      </c>
      <c r="K49" s="221"/>
      <c r="L49" s="221"/>
      <c r="M49" s="228"/>
      <c r="N49" s="228"/>
      <c r="O49" s="228"/>
      <c r="P49" s="228"/>
      <c r="Q49" s="219">
        <f t="shared" si="20"/>
        <v>0</v>
      </c>
      <c r="R49" s="219">
        <f t="shared" si="4"/>
        <v>0</v>
      </c>
      <c r="S49" s="222">
        <f>'приложение 1.1'!I46/1.18</f>
        <v>12.033898305084746</v>
      </c>
      <c r="T49" s="241"/>
      <c r="U49" s="241"/>
      <c r="V49" s="218"/>
      <c r="W49" s="218"/>
      <c r="X49" s="241"/>
      <c r="Y49" s="241"/>
      <c r="Z49" s="239"/>
      <c r="AA49" s="239"/>
      <c r="AB49" s="219">
        <f t="shared" si="6"/>
        <v>0</v>
      </c>
      <c r="AC49" s="219">
        <f t="shared" si="7"/>
        <v>0</v>
      </c>
      <c r="AD49" s="239"/>
      <c r="AE49" s="239"/>
      <c r="AF49" s="239"/>
      <c r="AG49" s="239"/>
      <c r="AH49" s="219">
        <f t="shared" si="8"/>
        <v>0</v>
      </c>
      <c r="AI49" s="219">
        <f t="shared" si="9"/>
        <v>0</v>
      </c>
      <c r="AJ49" s="241"/>
      <c r="AK49" s="239"/>
      <c r="AL49" s="239"/>
      <c r="AM49" s="239"/>
      <c r="AN49" s="219"/>
      <c r="AO49" s="569">
        <f>'приложение 1.1'!U46</f>
        <v>14.2</v>
      </c>
      <c r="AP49" s="569"/>
      <c r="AQ49" s="225">
        <f>'приложение 1.1'!W46</f>
        <v>14.2</v>
      </c>
    </row>
    <row r="50" spans="1:43" s="189" customFormat="1" ht="15">
      <c r="A50" s="226" t="s">
        <v>874</v>
      </c>
      <c r="B50" s="242" t="s">
        <v>649</v>
      </c>
      <c r="C50" s="241"/>
      <c r="D50" s="241"/>
      <c r="E50" s="239">
        <v>20</v>
      </c>
      <c r="F50" s="239"/>
      <c r="G50" s="239"/>
      <c r="H50" s="240"/>
      <c r="I50" s="219">
        <f t="shared" si="19"/>
        <v>20</v>
      </c>
      <c r="J50" s="219">
        <f t="shared" si="2"/>
        <v>0</v>
      </c>
      <c r="K50" s="221"/>
      <c r="L50" s="221"/>
      <c r="M50" s="228">
        <v>12.6</v>
      </c>
      <c r="N50" s="228"/>
      <c r="O50" s="228"/>
      <c r="P50" s="228"/>
      <c r="Q50" s="219">
        <f t="shared" si="20"/>
        <v>12.6</v>
      </c>
      <c r="R50" s="219">
        <f t="shared" si="4"/>
        <v>0</v>
      </c>
      <c r="S50" s="222">
        <f>'приложение 1.1'!I47/1.18</f>
        <v>35.00423728813559</v>
      </c>
      <c r="T50" s="241"/>
      <c r="U50" s="241"/>
      <c r="V50" s="218"/>
      <c r="W50" s="218"/>
      <c r="X50" s="218"/>
      <c r="Y50" s="218"/>
      <c r="Z50" s="241"/>
      <c r="AA50" s="241"/>
      <c r="AB50" s="219">
        <f t="shared" si="6"/>
        <v>0</v>
      </c>
      <c r="AC50" s="219">
        <f t="shared" si="7"/>
        <v>0</v>
      </c>
      <c r="AD50" s="239">
        <v>20</v>
      </c>
      <c r="AE50" s="239"/>
      <c r="AF50" s="239"/>
      <c r="AG50" s="239"/>
      <c r="AH50" s="219">
        <f t="shared" si="8"/>
        <v>20</v>
      </c>
      <c r="AI50" s="219">
        <f t="shared" si="9"/>
        <v>0</v>
      </c>
      <c r="AJ50" s="241"/>
      <c r="AK50" s="239"/>
      <c r="AL50" s="239"/>
      <c r="AM50" s="239"/>
      <c r="AN50" s="219"/>
      <c r="AO50" s="569">
        <f>'приложение 1.1'!U47</f>
        <v>41.305</v>
      </c>
      <c r="AP50" s="569"/>
      <c r="AQ50" s="225">
        <f>'приложение 1.1'!W47</f>
        <v>41.305</v>
      </c>
    </row>
    <row r="51" spans="1:43" s="189" customFormat="1" ht="48" customHeight="1">
      <c r="A51" s="226" t="s">
        <v>875</v>
      </c>
      <c r="B51" s="242" t="s">
        <v>651</v>
      </c>
      <c r="C51" s="239"/>
      <c r="D51" s="239"/>
      <c r="E51" s="218"/>
      <c r="F51" s="218"/>
      <c r="G51" s="239"/>
      <c r="H51" s="240"/>
      <c r="I51" s="219">
        <f t="shared" si="19"/>
        <v>0</v>
      </c>
      <c r="J51" s="219">
        <f t="shared" si="2"/>
        <v>0</v>
      </c>
      <c r="K51" s="243"/>
      <c r="L51" s="243"/>
      <c r="M51" s="239"/>
      <c r="N51" s="239"/>
      <c r="O51" s="239"/>
      <c r="P51" s="239"/>
      <c r="Q51" s="219">
        <f t="shared" si="20"/>
        <v>0</v>
      </c>
      <c r="R51" s="219">
        <f t="shared" si="4"/>
        <v>0</v>
      </c>
      <c r="S51" s="222">
        <f>'приложение 1.1'!I48/1.18</f>
        <v>6.152542372881356</v>
      </c>
      <c r="T51" s="241"/>
      <c r="U51" s="241"/>
      <c r="V51" s="239"/>
      <c r="W51" s="239"/>
      <c r="X51" s="239"/>
      <c r="Y51" s="239"/>
      <c r="Z51" s="239"/>
      <c r="AA51" s="239"/>
      <c r="AB51" s="219">
        <f t="shared" si="6"/>
        <v>0</v>
      </c>
      <c r="AC51" s="219">
        <f t="shared" si="7"/>
        <v>0</v>
      </c>
      <c r="AD51" s="218"/>
      <c r="AE51" s="218"/>
      <c r="AF51" s="239"/>
      <c r="AG51" s="239"/>
      <c r="AH51" s="219">
        <f t="shared" si="8"/>
        <v>0</v>
      </c>
      <c r="AI51" s="219">
        <f t="shared" si="9"/>
        <v>0</v>
      </c>
      <c r="AJ51" s="239"/>
      <c r="AK51" s="239"/>
      <c r="AL51" s="239"/>
      <c r="AM51" s="239"/>
      <c r="AN51" s="239"/>
      <c r="AO51" s="569">
        <f>'приложение 1.1'!U48</f>
        <v>7.26</v>
      </c>
      <c r="AP51" s="569"/>
      <c r="AQ51" s="225">
        <f>'приложение 1.1'!W48</f>
        <v>7.26</v>
      </c>
    </row>
    <row r="52" spans="1:43" s="189" customFormat="1" ht="15">
      <c r="A52" s="226" t="s">
        <v>876</v>
      </c>
      <c r="B52" s="208" t="s">
        <v>653</v>
      </c>
      <c r="C52" s="228"/>
      <c r="D52" s="228"/>
      <c r="E52" s="218"/>
      <c r="F52" s="218"/>
      <c r="G52" s="228"/>
      <c r="H52" s="229"/>
      <c r="I52" s="219">
        <f t="shared" si="19"/>
        <v>0</v>
      </c>
      <c r="J52" s="219">
        <f t="shared" si="2"/>
        <v>0</v>
      </c>
      <c r="K52" s="244"/>
      <c r="L52" s="244"/>
      <c r="M52" s="228">
        <v>0</v>
      </c>
      <c r="N52" s="228"/>
      <c r="O52" s="228"/>
      <c r="P52" s="228"/>
      <c r="Q52" s="219">
        <f t="shared" si="20"/>
        <v>0</v>
      </c>
      <c r="R52" s="219">
        <f t="shared" si="4"/>
        <v>0</v>
      </c>
      <c r="S52" s="222">
        <f>'приложение 1.1'!I49/1.18</f>
        <v>5.936440677966102</v>
      </c>
      <c r="T52" s="230"/>
      <c r="U52" s="230"/>
      <c r="V52" s="228"/>
      <c r="W52" s="228"/>
      <c r="X52" s="228"/>
      <c r="Y52" s="228"/>
      <c r="Z52" s="228"/>
      <c r="AA52" s="228"/>
      <c r="AB52" s="219">
        <f t="shared" si="6"/>
        <v>0</v>
      </c>
      <c r="AC52" s="219">
        <f t="shared" si="7"/>
        <v>0</v>
      </c>
      <c r="AD52" s="218"/>
      <c r="AE52" s="218"/>
      <c r="AF52" s="228"/>
      <c r="AG52" s="228"/>
      <c r="AH52" s="219">
        <f t="shared" si="8"/>
        <v>0</v>
      </c>
      <c r="AI52" s="219">
        <f t="shared" si="9"/>
        <v>0</v>
      </c>
      <c r="AJ52" s="228"/>
      <c r="AK52" s="228"/>
      <c r="AL52" s="228"/>
      <c r="AM52" s="228"/>
      <c r="AN52" s="228"/>
      <c r="AO52" s="569">
        <f>'приложение 1.1'!U49</f>
        <v>7.005</v>
      </c>
      <c r="AP52" s="569"/>
      <c r="AQ52" s="225">
        <f>'приложение 1.1'!W49</f>
        <v>7.005</v>
      </c>
    </row>
    <row r="53" spans="1:43" s="189" customFormat="1" ht="15">
      <c r="A53" s="226" t="s">
        <v>877</v>
      </c>
      <c r="B53" s="208" t="s">
        <v>655</v>
      </c>
      <c r="C53" s="219"/>
      <c r="D53" s="219"/>
      <c r="E53" s="218">
        <v>0</v>
      </c>
      <c r="F53" s="218"/>
      <c r="G53" s="219"/>
      <c r="H53" s="220"/>
      <c r="I53" s="219">
        <f t="shared" si="19"/>
        <v>0</v>
      </c>
      <c r="J53" s="219">
        <f t="shared" si="2"/>
        <v>0</v>
      </c>
      <c r="K53" s="231"/>
      <c r="L53" s="231"/>
      <c r="M53" s="219">
        <v>0</v>
      </c>
      <c r="N53" s="219"/>
      <c r="O53" s="219"/>
      <c r="P53" s="219"/>
      <c r="Q53" s="219">
        <f t="shared" si="20"/>
        <v>0</v>
      </c>
      <c r="R53" s="219">
        <f t="shared" si="4"/>
        <v>0</v>
      </c>
      <c r="S53" s="222">
        <f>'приложение 1.1'!I50/1.18</f>
        <v>6.457627118644068</v>
      </c>
      <c r="T53" s="223"/>
      <c r="U53" s="223"/>
      <c r="V53" s="219"/>
      <c r="W53" s="219"/>
      <c r="X53" s="219"/>
      <c r="Y53" s="219"/>
      <c r="Z53" s="219"/>
      <c r="AA53" s="219"/>
      <c r="AB53" s="219">
        <f t="shared" si="6"/>
        <v>0</v>
      </c>
      <c r="AC53" s="219">
        <f t="shared" si="7"/>
        <v>0</v>
      </c>
      <c r="AD53" s="218">
        <v>0</v>
      </c>
      <c r="AE53" s="218"/>
      <c r="AF53" s="219"/>
      <c r="AG53" s="219"/>
      <c r="AH53" s="219">
        <f t="shared" si="8"/>
        <v>0</v>
      </c>
      <c r="AI53" s="219">
        <f t="shared" si="9"/>
        <v>0</v>
      </c>
      <c r="AJ53" s="219"/>
      <c r="AK53" s="219"/>
      <c r="AL53" s="219"/>
      <c r="AM53" s="219"/>
      <c r="AN53" s="219"/>
      <c r="AO53" s="569">
        <f>'приложение 1.1'!U50</f>
        <v>7.62</v>
      </c>
      <c r="AP53" s="569"/>
      <c r="AQ53" s="225">
        <f>'приложение 1.1'!W50</f>
        <v>7.62</v>
      </c>
    </row>
    <row r="54" spans="1:43" s="189" customFormat="1" ht="15">
      <c r="A54" s="226" t="s">
        <v>878</v>
      </c>
      <c r="B54" s="208" t="s">
        <v>657</v>
      </c>
      <c r="C54" s="228"/>
      <c r="D54" s="228"/>
      <c r="E54" s="218">
        <v>0</v>
      </c>
      <c r="F54" s="218"/>
      <c r="G54" s="228"/>
      <c r="H54" s="229"/>
      <c r="I54" s="219">
        <f t="shared" si="19"/>
        <v>0</v>
      </c>
      <c r="J54" s="219">
        <f t="shared" si="2"/>
        <v>0</v>
      </c>
      <c r="K54" s="244"/>
      <c r="L54" s="244"/>
      <c r="M54" s="228">
        <v>0</v>
      </c>
      <c r="N54" s="228"/>
      <c r="O54" s="228"/>
      <c r="P54" s="228"/>
      <c r="Q54" s="219">
        <f t="shared" si="20"/>
        <v>0</v>
      </c>
      <c r="R54" s="219">
        <f t="shared" si="4"/>
        <v>0</v>
      </c>
      <c r="S54" s="222">
        <f>'приложение 1.1'!I51/1.18</f>
        <v>3.838983050847458</v>
      </c>
      <c r="T54" s="230"/>
      <c r="U54" s="230"/>
      <c r="V54" s="228"/>
      <c r="W54" s="228"/>
      <c r="X54" s="228"/>
      <c r="Y54" s="228"/>
      <c r="Z54" s="228"/>
      <c r="AA54" s="228"/>
      <c r="AB54" s="219">
        <f t="shared" si="6"/>
        <v>0</v>
      </c>
      <c r="AC54" s="219">
        <f t="shared" si="7"/>
        <v>0</v>
      </c>
      <c r="AD54" s="218">
        <v>0</v>
      </c>
      <c r="AE54" s="218"/>
      <c r="AF54" s="228"/>
      <c r="AG54" s="228"/>
      <c r="AH54" s="219">
        <f t="shared" si="8"/>
        <v>0</v>
      </c>
      <c r="AI54" s="219">
        <f t="shared" si="9"/>
        <v>0</v>
      </c>
      <c r="AJ54" s="228"/>
      <c r="AK54" s="228"/>
      <c r="AL54" s="228"/>
      <c r="AM54" s="228"/>
      <c r="AN54" s="228"/>
      <c r="AO54" s="569">
        <f>'приложение 1.1'!U51</f>
        <v>4.53</v>
      </c>
      <c r="AP54" s="569"/>
      <c r="AQ54" s="225">
        <f>'приложение 1.1'!W51</f>
        <v>4.53</v>
      </c>
    </row>
    <row r="55" spans="1:43" s="189" customFormat="1" ht="15">
      <c r="A55" s="226" t="s">
        <v>879</v>
      </c>
      <c r="B55" s="208" t="s">
        <v>659</v>
      </c>
      <c r="C55" s="228"/>
      <c r="D55" s="228"/>
      <c r="E55" s="218">
        <v>0</v>
      </c>
      <c r="F55" s="218"/>
      <c r="G55" s="228"/>
      <c r="H55" s="229"/>
      <c r="I55" s="219">
        <f t="shared" si="19"/>
        <v>0</v>
      </c>
      <c r="J55" s="219">
        <f t="shared" si="2"/>
        <v>0</v>
      </c>
      <c r="K55" s="244"/>
      <c r="L55" s="244"/>
      <c r="M55" s="228">
        <v>0</v>
      </c>
      <c r="N55" s="228"/>
      <c r="O55" s="228"/>
      <c r="P55" s="228"/>
      <c r="Q55" s="219">
        <f t="shared" si="20"/>
        <v>0</v>
      </c>
      <c r="R55" s="219">
        <f t="shared" si="4"/>
        <v>0</v>
      </c>
      <c r="S55" s="222">
        <f>'приложение 1.1'!I52/1.18</f>
        <v>8.796610169491524</v>
      </c>
      <c r="T55" s="230"/>
      <c r="U55" s="230"/>
      <c r="V55" s="228"/>
      <c r="W55" s="228"/>
      <c r="X55" s="228"/>
      <c r="Y55" s="228"/>
      <c r="Z55" s="228"/>
      <c r="AA55" s="228"/>
      <c r="AB55" s="219">
        <f t="shared" si="6"/>
        <v>0</v>
      </c>
      <c r="AC55" s="219">
        <f t="shared" si="7"/>
        <v>0</v>
      </c>
      <c r="AD55" s="218">
        <v>0</v>
      </c>
      <c r="AE55" s="218"/>
      <c r="AF55" s="228"/>
      <c r="AG55" s="228"/>
      <c r="AH55" s="219">
        <f t="shared" si="8"/>
        <v>0</v>
      </c>
      <c r="AI55" s="219">
        <f t="shared" si="9"/>
        <v>0</v>
      </c>
      <c r="AJ55" s="228"/>
      <c r="AK55" s="228"/>
      <c r="AL55" s="228"/>
      <c r="AM55" s="228"/>
      <c r="AN55" s="228"/>
      <c r="AO55" s="569">
        <f>'приложение 1.1'!U52</f>
        <v>10.379999999999999</v>
      </c>
      <c r="AP55" s="569"/>
      <c r="AQ55" s="225">
        <f>'приложение 1.1'!W52</f>
        <v>10.379999999999999</v>
      </c>
    </row>
    <row r="56" spans="1:43" s="189" customFormat="1" ht="15">
      <c r="A56" s="226" t="s">
        <v>880</v>
      </c>
      <c r="B56" s="208" t="s">
        <v>661</v>
      </c>
      <c r="C56" s="228"/>
      <c r="D56" s="228"/>
      <c r="E56" s="218"/>
      <c r="F56" s="218"/>
      <c r="G56" s="228"/>
      <c r="H56" s="229"/>
      <c r="I56" s="219">
        <f t="shared" si="19"/>
        <v>0</v>
      </c>
      <c r="J56" s="219">
        <f t="shared" si="2"/>
        <v>0</v>
      </c>
      <c r="K56" s="244"/>
      <c r="L56" s="244"/>
      <c r="M56" s="228"/>
      <c r="N56" s="228"/>
      <c r="O56" s="228"/>
      <c r="P56" s="228"/>
      <c r="Q56" s="219">
        <f t="shared" si="20"/>
        <v>0</v>
      </c>
      <c r="R56" s="219">
        <f t="shared" si="4"/>
        <v>0</v>
      </c>
      <c r="S56" s="222">
        <f>'приложение 1.1'!I53/1.18</f>
        <v>0.8991525423728813</v>
      </c>
      <c r="T56" s="230"/>
      <c r="U56" s="230"/>
      <c r="V56" s="228"/>
      <c r="W56" s="228"/>
      <c r="X56" s="228"/>
      <c r="Y56" s="228"/>
      <c r="Z56" s="228"/>
      <c r="AA56" s="228"/>
      <c r="AB56" s="219">
        <f t="shared" si="6"/>
        <v>0</v>
      </c>
      <c r="AC56" s="219">
        <f t="shared" si="7"/>
        <v>0</v>
      </c>
      <c r="AD56" s="218"/>
      <c r="AE56" s="218"/>
      <c r="AF56" s="228"/>
      <c r="AG56" s="228"/>
      <c r="AH56" s="219">
        <f t="shared" si="8"/>
        <v>0</v>
      </c>
      <c r="AI56" s="219">
        <f t="shared" si="9"/>
        <v>0</v>
      </c>
      <c r="AJ56" s="228"/>
      <c r="AK56" s="228"/>
      <c r="AL56" s="228"/>
      <c r="AM56" s="228"/>
      <c r="AN56" s="228"/>
      <c r="AO56" s="569">
        <f>'приложение 1.1'!U53</f>
        <v>1.061</v>
      </c>
      <c r="AP56" s="569"/>
      <c r="AQ56" s="225">
        <f>'приложение 1.1'!W53</f>
        <v>1.061</v>
      </c>
    </row>
    <row r="57" spans="1:43" s="189" customFormat="1" ht="15">
      <c r="A57" s="226" t="s">
        <v>881</v>
      </c>
      <c r="B57" s="208" t="s">
        <v>663</v>
      </c>
      <c r="C57" s="219"/>
      <c r="D57" s="219"/>
      <c r="E57" s="218"/>
      <c r="F57" s="218"/>
      <c r="G57" s="219"/>
      <c r="H57" s="220"/>
      <c r="I57" s="219">
        <f t="shared" si="19"/>
        <v>0</v>
      </c>
      <c r="J57" s="219">
        <f t="shared" si="2"/>
        <v>0</v>
      </c>
      <c r="K57" s="231"/>
      <c r="L57" s="231"/>
      <c r="M57" s="219"/>
      <c r="N57" s="219"/>
      <c r="O57" s="219"/>
      <c r="P57" s="219"/>
      <c r="Q57" s="219">
        <f t="shared" si="20"/>
        <v>0</v>
      </c>
      <c r="R57" s="219">
        <f t="shared" si="4"/>
        <v>0</v>
      </c>
      <c r="S57" s="222">
        <f>'приложение 1.1'!I54/1.18</f>
        <v>0.8991525423728813</v>
      </c>
      <c r="T57" s="223"/>
      <c r="U57" s="223"/>
      <c r="V57" s="219"/>
      <c r="W57" s="219"/>
      <c r="X57" s="219"/>
      <c r="Y57" s="219"/>
      <c r="Z57" s="219"/>
      <c r="AA57" s="219"/>
      <c r="AB57" s="219">
        <f t="shared" si="6"/>
        <v>0</v>
      </c>
      <c r="AC57" s="219">
        <f t="shared" si="7"/>
        <v>0</v>
      </c>
      <c r="AD57" s="218"/>
      <c r="AE57" s="218"/>
      <c r="AF57" s="219"/>
      <c r="AG57" s="219"/>
      <c r="AH57" s="219">
        <f t="shared" si="8"/>
        <v>0</v>
      </c>
      <c r="AI57" s="219">
        <f t="shared" si="9"/>
        <v>0</v>
      </c>
      <c r="AJ57" s="219"/>
      <c r="AK57" s="219"/>
      <c r="AL57" s="219"/>
      <c r="AM57" s="219"/>
      <c r="AN57" s="219"/>
      <c r="AO57" s="569">
        <f>'приложение 1.1'!U54</f>
        <v>1.061</v>
      </c>
      <c r="AP57" s="569"/>
      <c r="AQ57" s="225">
        <f>'приложение 1.1'!W54</f>
        <v>1.061</v>
      </c>
    </row>
    <row r="58" spans="1:43" s="189" customFormat="1" ht="15">
      <c r="A58" s="226" t="s">
        <v>882</v>
      </c>
      <c r="B58" s="208" t="s">
        <v>665</v>
      </c>
      <c r="C58" s="228"/>
      <c r="D58" s="228"/>
      <c r="E58" s="218">
        <v>2</v>
      </c>
      <c r="F58" s="218"/>
      <c r="G58" s="228"/>
      <c r="H58" s="229"/>
      <c r="I58" s="219">
        <f t="shared" si="19"/>
        <v>2</v>
      </c>
      <c r="J58" s="219">
        <f t="shared" si="2"/>
        <v>0</v>
      </c>
      <c r="K58" s="244"/>
      <c r="L58" s="244"/>
      <c r="M58" s="228">
        <v>2</v>
      </c>
      <c r="N58" s="228"/>
      <c r="O58" s="228"/>
      <c r="P58" s="228"/>
      <c r="Q58" s="219">
        <f t="shared" si="20"/>
        <v>2</v>
      </c>
      <c r="R58" s="219">
        <f t="shared" si="4"/>
        <v>0</v>
      </c>
      <c r="S58" s="222">
        <f>'приложение 1.1'!I55/1.18</f>
        <v>1.3559322033898307</v>
      </c>
      <c r="T58" s="230"/>
      <c r="U58" s="230"/>
      <c r="V58" s="228"/>
      <c r="W58" s="228"/>
      <c r="X58" s="228"/>
      <c r="Y58" s="228"/>
      <c r="Z58" s="228"/>
      <c r="AA58" s="228"/>
      <c r="AB58" s="219">
        <f t="shared" si="6"/>
        <v>0</v>
      </c>
      <c r="AC58" s="219">
        <f t="shared" si="7"/>
        <v>0</v>
      </c>
      <c r="AD58" s="218">
        <v>2</v>
      </c>
      <c r="AE58" s="218"/>
      <c r="AF58" s="228"/>
      <c r="AG58" s="228"/>
      <c r="AH58" s="219">
        <f t="shared" si="8"/>
        <v>2</v>
      </c>
      <c r="AI58" s="219">
        <f t="shared" si="9"/>
        <v>0</v>
      </c>
      <c r="AJ58" s="228"/>
      <c r="AK58" s="228"/>
      <c r="AL58" s="228"/>
      <c r="AM58" s="228"/>
      <c r="AN58" s="228"/>
      <c r="AO58" s="569">
        <f>'приложение 1.1'!U55</f>
        <v>1.6</v>
      </c>
      <c r="AP58" s="569"/>
      <c r="AQ58" s="225">
        <f>'приложение 1.1'!W55</f>
        <v>1.6</v>
      </c>
    </row>
    <row r="59" spans="1:43" s="189" customFormat="1" ht="15">
      <c r="A59" s="226" t="s">
        <v>883</v>
      </c>
      <c r="B59" s="208" t="s">
        <v>667</v>
      </c>
      <c r="C59" s="228"/>
      <c r="D59" s="228"/>
      <c r="E59" s="218">
        <v>2</v>
      </c>
      <c r="F59" s="218"/>
      <c r="G59" s="228"/>
      <c r="H59" s="229"/>
      <c r="I59" s="219">
        <f t="shared" si="19"/>
        <v>2</v>
      </c>
      <c r="J59" s="219">
        <f t="shared" si="2"/>
        <v>0</v>
      </c>
      <c r="K59" s="244"/>
      <c r="L59" s="244"/>
      <c r="M59" s="228">
        <v>2</v>
      </c>
      <c r="N59" s="228"/>
      <c r="O59" s="228"/>
      <c r="P59" s="228"/>
      <c r="Q59" s="219">
        <f t="shared" si="20"/>
        <v>2</v>
      </c>
      <c r="R59" s="219">
        <f t="shared" si="4"/>
        <v>0</v>
      </c>
      <c r="S59" s="222">
        <f>'приложение 1.1'!I56/1.18</f>
        <v>1.3559322033898307</v>
      </c>
      <c r="T59" s="230"/>
      <c r="U59" s="230"/>
      <c r="V59" s="228"/>
      <c r="W59" s="228"/>
      <c r="X59" s="228"/>
      <c r="Y59" s="228"/>
      <c r="Z59" s="228"/>
      <c r="AA59" s="228"/>
      <c r="AB59" s="219">
        <f t="shared" si="6"/>
        <v>0</v>
      </c>
      <c r="AC59" s="219">
        <f t="shared" si="7"/>
        <v>0</v>
      </c>
      <c r="AD59" s="218">
        <v>2</v>
      </c>
      <c r="AE59" s="218"/>
      <c r="AF59" s="228"/>
      <c r="AG59" s="228"/>
      <c r="AH59" s="219">
        <f t="shared" si="8"/>
        <v>2</v>
      </c>
      <c r="AI59" s="219">
        <f t="shared" si="9"/>
        <v>0</v>
      </c>
      <c r="AJ59" s="228"/>
      <c r="AK59" s="228"/>
      <c r="AL59" s="228"/>
      <c r="AM59" s="228"/>
      <c r="AN59" s="228"/>
      <c r="AO59" s="569">
        <f>'приложение 1.1'!U56</f>
        <v>1.6</v>
      </c>
      <c r="AP59" s="569"/>
      <c r="AQ59" s="225">
        <f>'приложение 1.1'!W56</f>
        <v>1.6</v>
      </c>
    </row>
    <row r="60" spans="1:43" s="189" customFormat="1" ht="15">
      <c r="A60" s="226" t="s">
        <v>884</v>
      </c>
      <c r="B60" s="208" t="s">
        <v>669</v>
      </c>
      <c r="C60" s="228"/>
      <c r="D60" s="228"/>
      <c r="E60" s="218">
        <v>0.4</v>
      </c>
      <c r="F60" s="218"/>
      <c r="G60" s="228"/>
      <c r="H60" s="229"/>
      <c r="I60" s="219">
        <f t="shared" si="19"/>
        <v>0.4</v>
      </c>
      <c r="J60" s="219">
        <f t="shared" si="2"/>
        <v>0</v>
      </c>
      <c r="K60" s="244"/>
      <c r="L60" s="244"/>
      <c r="M60" s="228">
        <v>0.4</v>
      </c>
      <c r="N60" s="228"/>
      <c r="O60" s="228"/>
      <c r="P60" s="228"/>
      <c r="Q60" s="219">
        <f t="shared" si="20"/>
        <v>0.4</v>
      </c>
      <c r="R60" s="219">
        <f t="shared" si="4"/>
        <v>0</v>
      </c>
      <c r="S60" s="222">
        <f>'приложение 1.1'!I57/1.18</f>
        <v>0.8220338983050848</v>
      </c>
      <c r="T60" s="230"/>
      <c r="U60" s="230"/>
      <c r="V60" s="228"/>
      <c r="W60" s="228"/>
      <c r="X60" s="228"/>
      <c r="Y60" s="228"/>
      <c r="Z60" s="228"/>
      <c r="AA60" s="228"/>
      <c r="AB60" s="219">
        <f t="shared" si="6"/>
        <v>0</v>
      </c>
      <c r="AC60" s="219">
        <f t="shared" si="7"/>
        <v>0</v>
      </c>
      <c r="AD60" s="218">
        <v>0.4</v>
      </c>
      <c r="AE60" s="218"/>
      <c r="AF60" s="228"/>
      <c r="AG60" s="228"/>
      <c r="AH60" s="219">
        <f t="shared" si="8"/>
        <v>0.4</v>
      </c>
      <c r="AI60" s="219">
        <f t="shared" si="9"/>
        <v>0</v>
      </c>
      <c r="AJ60" s="228"/>
      <c r="AK60" s="228"/>
      <c r="AL60" s="228"/>
      <c r="AM60" s="228"/>
      <c r="AN60" s="228"/>
      <c r="AO60" s="569">
        <f>'приложение 1.1'!U57</f>
        <v>0.97</v>
      </c>
      <c r="AP60" s="569"/>
      <c r="AQ60" s="225">
        <f>'приложение 1.1'!W57</f>
        <v>0.97</v>
      </c>
    </row>
    <row r="61" spans="1:43" s="189" customFormat="1" ht="15">
      <c r="A61" s="226" t="s">
        <v>885</v>
      </c>
      <c r="B61" s="208" t="s">
        <v>671</v>
      </c>
      <c r="C61" s="228"/>
      <c r="D61" s="228"/>
      <c r="E61" s="218">
        <v>0.4</v>
      </c>
      <c r="F61" s="218"/>
      <c r="G61" s="228"/>
      <c r="H61" s="229"/>
      <c r="I61" s="219">
        <f t="shared" si="19"/>
        <v>0.4</v>
      </c>
      <c r="J61" s="219">
        <f t="shared" si="2"/>
        <v>0</v>
      </c>
      <c r="K61" s="244"/>
      <c r="L61" s="244"/>
      <c r="M61" s="228">
        <v>0.4</v>
      </c>
      <c r="N61" s="228"/>
      <c r="O61" s="228"/>
      <c r="P61" s="228"/>
      <c r="Q61" s="219">
        <f t="shared" si="20"/>
        <v>0.4</v>
      </c>
      <c r="R61" s="219">
        <f t="shared" si="4"/>
        <v>0</v>
      </c>
      <c r="S61" s="222">
        <f>'приложение 1.1'!I58/1.18</f>
        <v>0.7847457627118644</v>
      </c>
      <c r="T61" s="230"/>
      <c r="U61" s="230"/>
      <c r="V61" s="228"/>
      <c r="W61" s="228"/>
      <c r="X61" s="228"/>
      <c r="Y61" s="228"/>
      <c r="Z61" s="228"/>
      <c r="AA61" s="228"/>
      <c r="AB61" s="219">
        <f t="shared" si="6"/>
        <v>0</v>
      </c>
      <c r="AC61" s="219">
        <f t="shared" si="7"/>
        <v>0</v>
      </c>
      <c r="AD61" s="218">
        <v>0.4</v>
      </c>
      <c r="AE61" s="218"/>
      <c r="AF61" s="228"/>
      <c r="AG61" s="228"/>
      <c r="AH61" s="219">
        <f t="shared" si="8"/>
        <v>0.4</v>
      </c>
      <c r="AI61" s="219">
        <f t="shared" si="9"/>
        <v>0</v>
      </c>
      <c r="AJ61" s="228"/>
      <c r="AK61" s="228"/>
      <c r="AL61" s="228"/>
      <c r="AM61" s="228"/>
      <c r="AN61" s="228"/>
      <c r="AO61" s="569">
        <f>'приложение 1.1'!U58</f>
        <v>0.9259999999999999</v>
      </c>
      <c r="AP61" s="569"/>
      <c r="AQ61" s="225">
        <f>'приложение 1.1'!W58</f>
        <v>0.9259999999999999</v>
      </c>
    </row>
    <row r="62" spans="1:43" s="189" customFormat="1" ht="15">
      <c r="A62" s="226" t="s">
        <v>886</v>
      </c>
      <c r="B62" s="208" t="s">
        <v>673</v>
      </c>
      <c r="C62" s="228"/>
      <c r="D62" s="228"/>
      <c r="E62" s="218">
        <v>0.25</v>
      </c>
      <c r="F62" s="218"/>
      <c r="G62" s="228"/>
      <c r="H62" s="229"/>
      <c r="I62" s="219">
        <f t="shared" si="19"/>
        <v>0.25</v>
      </c>
      <c r="J62" s="219">
        <f t="shared" si="2"/>
        <v>0</v>
      </c>
      <c r="K62" s="244"/>
      <c r="L62" s="244"/>
      <c r="M62" s="228">
        <v>0.25</v>
      </c>
      <c r="N62" s="228"/>
      <c r="O62" s="228"/>
      <c r="P62" s="228"/>
      <c r="Q62" s="219">
        <f t="shared" si="20"/>
        <v>0.25</v>
      </c>
      <c r="R62" s="219">
        <f t="shared" si="4"/>
        <v>0</v>
      </c>
      <c r="S62" s="222">
        <f>'приложение 1.1'!I59/1.18</f>
        <v>0.6805084745762712</v>
      </c>
      <c r="T62" s="230"/>
      <c r="U62" s="230"/>
      <c r="V62" s="228"/>
      <c r="W62" s="228"/>
      <c r="X62" s="228"/>
      <c r="Y62" s="228"/>
      <c r="Z62" s="228"/>
      <c r="AA62" s="228"/>
      <c r="AB62" s="219">
        <f t="shared" si="6"/>
        <v>0</v>
      </c>
      <c r="AC62" s="219">
        <f t="shared" si="7"/>
        <v>0</v>
      </c>
      <c r="AD62" s="218">
        <v>0.25</v>
      </c>
      <c r="AE62" s="218"/>
      <c r="AF62" s="228"/>
      <c r="AG62" s="228"/>
      <c r="AH62" s="219">
        <f t="shared" si="8"/>
        <v>0.25</v>
      </c>
      <c r="AI62" s="219">
        <f t="shared" si="9"/>
        <v>0</v>
      </c>
      <c r="AJ62" s="228"/>
      <c r="AK62" s="228"/>
      <c r="AL62" s="228"/>
      <c r="AM62" s="228"/>
      <c r="AN62" s="228"/>
      <c r="AO62" s="569">
        <f>'приложение 1.1'!U59</f>
        <v>0.8029999999999999</v>
      </c>
      <c r="AP62" s="569"/>
      <c r="AQ62" s="225">
        <f>'приложение 1.1'!W59</f>
        <v>0.8029999999999999</v>
      </c>
    </row>
    <row r="63" spans="1:43" s="189" customFormat="1" ht="15">
      <c r="A63" s="226" t="s">
        <v>887</v>
      </c>
      <c r="B63" s="208" t="s">
        <v>675</v>
      </c>
      <c r="C63" s="228"/>
      <c r="D63" s="228"/>
      <c r="E63" s="218">
        <v>0.63</v>
      </c>
      <c r="F63" s="218"/>
      <c r="G63" s="228"/>
      <c r="H63" s="229"/>
      <c r="I63" s="219">
        <f t="shared" si="19"/>
        <v>0.63</v>
      </c>
      <c r="J63" s="219">
        <f t="shared" si="2"/>
        <v>0</v>
      </c>
      <c r="K63" s="244"/>
      <c r="L63" s="244"/>
      <c r="M63" s="228">
        <v>0.4</v>
      </c>
      <c r="N63" s="228"/>
      <c r="O63" s="228"/>
      <c r="P63" s="228"/>
      <c r="Q63" s="219">
        <f t="shared" si="20"/>
        <v>0.4</v>
      </c>
      <c r="R63" s="219">
        <f t="shared" si="4"/>
        <v>0</v>
      </c>
      <c r="S63" s="222">
        <f>'приложение 1.1'!I60/1.18</f>
        <v>0.9067796610169493</v>
      </c>
      <c r="T63" s="230"/>
      <c r="U63" s="230"/>
      <c r="V63" s="228"/>
      <c r="W63" s="228"/>
      <c r="X63" s="228"/>
      <c r="Y63" s="228"/>
      <c r="Z63" s="228"/>
      <c r="AA63" s="228"/>
      <c r="AB63" s="219">
        <f t="shared" si="6"/>
        <v>0</v>
      </c>
      <c r="AC63" s="219">
        <f t="shared" si="7"/>
        <v>0</v>
      </c>
      <c r="AD63" s="218">
        <v>0.63</v>
      </c>
      <c r="AE63" s="218"/>
      <c r="AF63" s="228"/>
      <c r="AG63" s="228"/>
      <c r="AH63" s="219">
        <f t="shared" si="8"/>
        <v>0.63</v>
      </c>
      <c r="AI63" s="219">
        <f t="shared" si="9"/>
        <v>0</v>
      </c>
      <c r="AJ63" s="228"/>
      <c r="AK63" s="228"/>
      <c r="AL63" s="228"/>
      <c r="AM63" s="228"/>
      <c r="AN63" s="228"/>
      <c r="AO63" s="569">
        <f>'приложение 1.1'!U60</f>
        <v>1.07</v>
      </c>
      <c r="AP63" s="569"/>
      <c r="AQ63" s="225">
        <f>'приложение 1.1'!W60</f>
        <v>1.07</v>
      </c>
    </row>
    <row r="64" spans="1:43" s="189" customFormat="1" ht="15">
      <c r="A64" s="226" t="s">
        <v>888</v>
      </c>
      <c r="B64" s="208" t="s">
        <v>677</v>
      </c>
      <c r="C64" s="228"/>
      <c r="D64" s="228"/>
      <c r="E64" s="218"/>
      <c r="F64" s="218">
        <v>0.34</v>
      </c>
      <c r="G64" s="228"/>
      <c r="H64" s="229"/>
      <c r="I64" s="219">
        <f t="shared" si="19"/>
        <v>0</v>
      </c>
      <c r="J64" s="219">
        <f t="shared" si="2"/>
        <v>0.34</v>
      </c>
      <c r="K64" s="244"/>
      <c r="L64" s="244"/>
      <c r="M64" s="218"/>
      <c r="N64" s="218">
        <v>0.34</v>
      </c>
      <c r="O64" s="228"/>
      <c r="P64" s="228"/>
      <c r="Q64" s="219">
        <f t="shared" si="20"/>
        <v>0</v>
      </c>
      <c r="R64" s="219">
        <f t="shared" si="4"/>
        <v>0.34</v>
      </c>
      <c r="S64" s="222">
        <f>'приложение 1.1'!I61/1.18</f>
        <v>0.3423728813559322</v>
      </c>
      <c r="T64" s="230"/>
      <c r="U64" s="230"/>
      <c r="V64" s="228"/>
      <c r="W64" s="228"/>
      <c r="X64" s="228"/>
      <c r="Y64" s="228"/>
      <c r="Z64" s="228"/>
      <c r="AA64" s="228"/>
      <c r="AB64" s="219">
        <f t="shared" si="6"/>
        <v>0</v>
      </c>
      <c r="AC64" s="219">
        <f t="shared" si="7"/>
        <v>0</v>
      </c>
      <c r="AD64" s="218"/>
      <c r="AE64" s="218">
        <v>0.34</v>
      </c>
      <c r="AF64" s="228"/>
      <c r="AG64" s="228"/>
      <c r="AH64" s="219">
        <f t="shared" si="8"/>
        <v>0</v>
      </c>
      <c r="AI64" s="219">
        <f t="shared" si="9"/>
        <v>0.34</v>
      </c>
      <c r="AJ64" s="228"/>
      <c r="AK64" s="228"/>
      <c r="AL64" s="228"/>
      <c r="AM64" s="228"/>
      <c r="AN64" s="228"/>
      <c r="AO64" s="569">
        <f>'приложение 1.1'!U61</f>
        <v>0.40399999999999997</v>
      </c>
      <c r="AP64" s="569"/>
      <c r="AQ64" s="225">
        <f>'приложение 1.1'!W61</f>
        <v>0.40399999999999997</v>
      </c>
    </row>
    <row r="65" spans="1:43" s="189" customFormat="1" ht="15">
      <c r="A65" s="226" t="s">
        <v>889</v>
      </c>
      <c r="B65" s="242" t="s">
        <v>679</v>
      </c>
      <c r="C65" s="228"/>
      <c r="D65" s="228"/>
      <c r="E65" s="218"/>
      <c r="F65" s="218">
        <v>0.05</v>
      </c>
      <c r="G65" s="228"/>
      <c r="H65" s="229"/>
      <c r="I65" s="219">
        <f t="shared" si="19"/>
        <v>0</v>
      </c>
      <c r="J65" s="219">
        <f t="shared" si="2"/>
        <v>0.05</v>
      </c>
      <c r="K65" s="244"/>
      <c r="L65" s="244"/>
      <c r="M65" s="218"/>
      <c r="N65" s="218">
        <v>0.05</v>
      </c>
      <c r="O65" s="228"/>
      <c r="P65" s="228"/>
      <c r="Q65" s="219">
        <f t="shared" si="20"/>
        <v>0</v>
      </c>
      <c r="R65" s="219">
        <f t="shared" si="4"/>
        <v>0.05</v>
      </c>
      <c r="S65" s="222">
        <f>'приложение 1.1'!I62/1.18</f>
        <v>0.1076271186440678</v>
      </c>
      <c r="T65" s="230"/>
      <c r="U65" s="230"/>
      <c r="V65" s="228"/>
      <c r="W65" s="228"/>
      <c r="X65" s="228"/>
      <c r="Y65" s="228"/>
      <c r="Z65" s="228"/>
      <c r="AA65" s="228"/>
      <c r="AB65" s="219">
        <f t="shared" si="6"/>
        <v>0</v>
      </c>
      <c r="AC65" s="219">
        <f t="shared" si="7"/>
        <v>0</v>
      </c>
      <c r="AD65" s="218"/>
      <c r="AE65" s="218">
        <v>0.05</v>
      </c>
      <c r="AF65" s="228"/>
      <c r="AG65" s="228"/>
      <c r="AH65" s="219">
        <f t="shared" si="8"/>
        <v>0</v>
      </c>
      <c r="AI65" s="219">
        <f t="shared" si="9"/>
        <v>0.05</v>
      </c>
      <c r="AJ65" s="228"/>
      <c r="AK65" s="228"/>
      <c r="AL65" s="228"/>
      <c r="AM65" s="228"/>
      <c r="AN65" s="228"/>
      <c r="AO65" s="569">
        <f>'приложение 1.1'!U62</f>
        <v>0.127</v>
      </c>
      <c r="AP65" s="569"/>
      <c r="AQ65" s="225">
        <f>'приложение 1.1'!W62</f>
        <v>0.127</v>
      </c>
    </row>
    <row r="66" spans="1:43" s="189" customFormat="1" ht="15">
      <c r="A66" s="226" t="s">
        <v>890</v>
      </c>
      <c r="B66" s="242" t="s">
        <v>681</v>
      </c>
      <c r="C66" s="228"/>
      <c r="D66" s="228"/>
      <c r="E66" s="218"/>
      <c r="F66" s="218">
        <v>0.04</v>
      </c>
      <c r="G66" s="228"/>
      <c r="H66" s="229"/>
      <c r="I66" s="219">
        <f t="shared" si="19"/>
        <v>0</v>
      </c>
      <c r="J66" s="219">
        <f t="shared" si="2"/>
        <v>0.04</v>
      </c>
      <c r="K66" s="244"/>
      <c r="L66" s="244"/>
      <c r="M66" s="218"/>
      <c r="N66" s="218">
        <v>0.04</v>
      </c>
      <c r="O66" s="228"/>
      <c r="P66" s="228"/>
      <c r="Q66" s="219">
        <f t="shared" si="20"/>
        <v>0</v>
      </c>
      <c r="R66" s="219">
        <f t="shared" si="4"/>
        <v>0.04</v>
      </c>
      <c r="S66" s="222">
        <f>'приложение 1.1'!I63/1.18</f>
        <v>0.2542372881355932</v>
      </c>
      <c r="T66" s="230"/>
      <c r="U66" s="230"/>
      <c r="V66" s="228"/>
      <c r="W66" s="228"/>
      <c r="X66" s="228"/>
      <c r="Y66" s="228"/>
      <c r="Z66" s="228"/>
      <c r="AA66" s="228"/>
      <c r="AB66" s="219">
        <f t="shared" si="6"/>
        <v>0</v>
      </c>
      <c r="AC66" s="219">
        <f t="shared" si="7"/>
        <v>0</v>
      </c>
      <c r="AD66" s="218"/>
      <c r="AE66" s="218">
        <v>0.04</v>
      </c>
      <c r="AF66" s="228"/>
      <c r="AG66" s="228"/>
      <c r="AH66" s="219">
        <f t="shared" si="8"/>
        <v>0</v>
      </c>
      <c r="AI66" s="219">
        <f t="shared" si="9"/>
        <v>0.04</v>
      </c>
      <c r="AJ66" s="228"/>
      <c r="AK66" s="228"/>
      <c r="AL66" s="228"/>
      <c r="AM66" s="228"/>
      <c r="AN66" s="228"/>
      <c r="AO66" s="569">
        <f>'приложение 1.1'!U63</f>
        <v>0.3</v>
      </c>
      <c r="AP66" s="569"/>
      <c r="AQ66" s="225">
        <f>'приложение 1.1'!W63</f>
        <v>0.3</v>
      </c>
    </row>
    <row r="67" spans="1:43" s="189" customFormat="1" ht="15">
      <c r="A67" s="226" t="s">
        <v>891</v>
      </c>
      <c r="B67" s="242" t="s">
        <v>683</v>
      </c>
      <c r="C67" s="228"/>
      <c r="D67" s="228"/>
      <c r="E67" s="218"/>
      <c r="F67" s="218">
        <v>0.16</v>
      </c>
      <c r="G67" s="228"/>
      <c r="H67" s="229"/>
      <c r="I67" s="219">
        <f t="shared" si="19"/>
        <v>0</v>
      </c>
      <c r="J67" s="219">
        <f t="shared" si="2"/>
        <v>0.16</v>
      </c>
      <c r="K67" s="244"/>
      <c r="L67" s="244"/>
      <c r="M67" s="218"/>
      <c r="N67" s="218">
        <v>0.16</v>
      </c>
      <c r="O67" s="228"/>
      <c r="P67" s="228"/>
      <c r="Q67" s="219">
        <f t="shared" si="20"/>
        <v>0</v>
      </c>
      <c r="R67" s="219">
        <f t="shared" si="4"/>
        <v>0.16</v>
      </c>
      <c r="S67" s="222">
        <f>'приложение 1.1'!I64/1.18</f>
        <v>0.2245762711864407</v>
      </c>
      <c r="T67" s="230"/>
      <c r="U67" s="230"/>
      <c r="V67" s="228"/>
      <c r="W67" s="228"/>
      <c r="X67" s="228"/>
      <c r="Y67" s="228"/>
      <c r="Z67" s="228"/>
      <c r="AA67" s="228"/>
      <c r="AB67" s="219">
        <f t="shared" si="6"/>
        <v>0</v>
      </c>
      <c r="AC67" s="219">
        <f t="shared" si="7"/>
        <v>0</v>
      </c>
      <c r="AD67" s="218"/>
      <c r="AE67" s="218">
        <v>0.16</v>
      </c>
      <c r="AF67" s="228"/>
      <c r="AG67" s="228"/>
      <c r="AH67" s="219">
        <f t="shared" si="8"/>
        <v>0</v>
      </c>
      <c r="AI67" s="219">
        <f t="shared" si="9"/>
        <v>0.16</v>
      </c>
      <c r="AJ67" s="228"/>
      <c r="AK67" s="228"/>
      <c r="AL67" s="228"/>
      <c r="AM67" s="228"/>
      <c r="AN67" s="228"/>
      <c r="AO67" s="569">
        <f>'приложение 1.1'!U64</f>
        <v>0.265</v>
      </c>
      <c r="AP67" s="569"/>
      <c r="AQ67" s="225">
        <f>'приложение 1.1'!W64</f>
        <v>0.265</v>
      </c>
    </row>
    <row r="68" spans="1:43" s="189" customFormat="1" ht="15">
      <c r="A68" s="226" t="s">
        <v>892</v>
      </c>
      <c r="B68" s="242" t="s">
        <v>685</v>
      </c>
      <c r="C68" s="228"/>
      <c r="D68" s="228"/>
      <c r="E68" s="218"/>
      <c r="F68" s="218">
        <v>0.42</v>
      </c>
      <c r="G68" s="228"/>
      <c r="H68" s="229"/>
      <c r="I68" s="219">
        <f t="shared" si="19"/>
        <v>0</v>
      </c>
      <c r="J68" s="219">
        <f t="shared" si="2"/>
        <v>0.42</v>
      </c>
      <c r="K68" s="244"/>
      <c r="L68" s="244"/>
      <c r="M68" s="218"/>
      <c r="N68" s="218">
        <v>0.42</v>
      </c>
      <c r="O68" s="228"/>
      <c r="P68" s="228"/>
      <c r="Q68" s="219">
        <f t="shared" si="20"/>
        <v>0</v>
      </c>
      <c r="R68" s="219">
        <f t="shared" si="4"/>
        <v>0.42</v>
      </c>
      <c r="S68" s="222">
        <f>'приложение 1.1'!I65/1.18</f>
        <v>0.5872881355932204</v>
      </c>
      <c r="T68" s="230"/>
      <c r="U68" s="230"/>
      <c r="V68" s="228"/>
      <c r="W68" s="228"/>
      <c r="X68" s="228"/>
      <c r="Y68" s="228"/>
      <c r="Z68" s="228"/>
      <c r="AA68" s="228"/>
      <c r="AB68" s="219">
        <f t="shared" si="6"/>
        <v>0</v>
      </c>
      <c r="AC68" s="219">
        <f t="shared" si="7"/>
        <v>0</v>
      </c>
      <c r="AD68" s="218"/>
      <c r="AE68" s="218">
        <v>0.42</v>
      </c>
      <c r="AF68" s="228"/>
      <c r="AG68" s="228"/>
      <c r="AH68" s="219">
        <f t="shared" si="8"/>
        <v>0</v>
      </c>
      <c r="AI68" s="219">
        <f t="shared" si="9"/>
        <v>0.42</v>
      </c>
      <c r="AJ68" s="228"/>
      <c r="AK68" s="228"/>
      <c r="AL68" s="228"/>
      <c r="AM68" s="228"/>
      <c r="AN68" s="228"/>
      <c r="AO68" s="569">
        <f>'приложение 1.1'!U65</f>
        <v>0.693</v>
      </c>
      <c r="AP68" s="569"/>
      <c r="AQ68" s="225">
        <f>'приложение 1.1'!W65</f>
        <v>0.693</v>
      </c>
    </row>
    <row r="69" spans="1:43" s="189" customFormat="1" ht="24">
      <c r="A69" s="226" t="s">
        <v>893</v>
      </c>
      <c r="B69" s="245" t="s">
        <v>687</v>
      </c>
      <c r="C69" s="228"/>
      <c r="D69" s="228"/>
      <c r="E69" s="218"/>
      <c r="F69" s="218"/>
      <c r="G69" s="228"/>
      <c r="H69" s="229">
        <v>0.69</v>
      </c>
      <c r="I69" s="219">
        <f t="shared" si="19"/>
        <v>0</v>
      </c>
      <c r="J69" s="219">
        <f t="shared" si="2"/>
        <v>0.69</v>
      </c>
      <c r="K69" s="244"/>
      <c r="L69" s="244"/>
      <c r="M69" s="228"/>
      <c r="N69" s="228"/>
      <c r="O69" s="228"/>
      <c r="P69" s="228">
        <v>0.69</v>
      </c>
      <c r="Q69" s="219">
        <f t="shared" si="20"/>
        <v>0</v>
      </c>
      <c r="R69" s="219">
        <f t="shared" si="4"/>
        <v>0.69</v>
      </c>
      <c r="S69" s="222">
        <f>'приложение 1.1'!I66/1.18</f>
        <v>8.406779661016952</v>
      </c>
      <c r="T69" s="230"/>
      <c r="U69" s="230"/>
      <c r="V69" s="228"/>
      <c r="W69" s="228"/>
      <c r="X69" s="228"/>
      <c r="Y69" s="228"/>
      <c r="Z69" s="228"/>
      <c r="AA69" s="228"/>
      <c r="AB69" s="219">
        <f t="shared" si="6"/>
        <v>0</v>
      </c>
      <c r="AC69" s="219">
        <f t="shared" si="7"/>
        <v>0</v>
      </c>
      <c r="AD69" s="218"/>
      <c r="AE69" s="218"/>
      <c r="AF69" s="228"/>
      <c r="AG69" s="228">
        <v>0.69</v>
      </c>
      <c r="AH69" s="219">
        <f t="shared" si="8"/>
        <v>0</v>
      </c>
      <c r="AI69" s="219">
        <f t="shared" si="9"/>
        <v>0.69</v>
      </c>
      <c r="AJ69" s="228"/>
      <c r="AK69" s="228"/>
      <c r="AL69" s="228"/>
      <c r="AM69" s="228"/>
      <c r="AN69" s="228"/>
      <c r="AO69" s="569"/>
      <c r="AP69" s="569">
        <f>'приложение 1.1'!V66</f>
        <v>9.920000000000002</v>
      </c>
      <c r="AQ69" s="225">
        <f>'приложение 1.1'!W66</f>
        <v>9.920000000000002</v>
      </c>
    </row>
    <row r="70" spans="1:43" s="189" customFormat="1" ht="24">
      <c r="A70" s="226" t="s">
        <v>894</v>
      </c>
      <c r="B70" s="245" t="s">
        <v>689</v>
      </c>
      <c r="C70" s="228"/>
      <c r="D70" s="228"/>
      <c r="E70" s="241"/>
      <c r="F70" s="241"/>
      <c r="G70" s="228"/>
      <c r="H70" s="229"/>
      <c r="I70" s="219">
        <f t="shared" si="19"/>
        <v>0</v>
      </c>
      <c r="J70" s="219">
        <f t="shared" si="2"/>
        <v>0</v>
      </c>
      <c r="K70" s="244"/>
      <c r="L70" s="244"/>
      <c r="M70" s="228"/>
      <c r="N70" s="228"/>
      <c r="O70" s="228"/>
      <c r="P70" s="228"/>
      <c r="Q70" s="219">
        <f t="shared" si="20"/>
        <v>0</v>
      </c>
      <c r="R70" s="219">
        <f t="shared" si="4"/>
        <v>0</v>
      </c>
      <c r="S70" s="222">
        <f>'приложение 1.1'!I67/1.18</f>
        <v>2.1796610169491526</v>
      </c>
      <c r="T70" s="230"/>
      <c r="U70" s="230"/>
      <c r="V70" s="228"/>
      <c r="W70" s="228"/>
      <c r="X70" s="228"/>
      <c r="Y70" s="228"/>
      <c r="Z70" s="228"/>
      <c r="AA70" s="228"/>
      <c r="AB70" s="219">
        <f t="shared" si="6"/>
        <v>0</v>
      </c>
      <c r="AC70" s="219">
        <f t="shared" si="7"/>
        <v>0</v>
      </c>
      <c r="AD70" s="241"/>
      <c r="AE70" s="241"/>
      <c r="AF70" s="228"/>
      <c r="AG70" s="228"/>
      <c r="AH70" s="219">
        <f t="shared" si="8"/>
        <v>0</v>
      </c>
      <c r="AI70" s="219">
        <f t="shared" si="9"/>
        <v>0</v>
      </c>
      <c r="AJ70" s="228"/>
      <c r="AK70" s="228"/>
      <c r="AL70" s="228"/>
      <c r="AM70" s="228"/>
      <c r="AN70" s="228"/>
      <c r="AO70" s="569"/>
      <c r="AP70" s="569">
        <f>'приложение 1.1'!V67</f>
        <v>2.572</v>
      </c>
      <c r="AQ70" s="225">
        <f>'приложение 1.1'!W67</f>
        <v>2.572</v>
      </c>
    </row>
    <row r="71" spans="1:43" s="189" customFormat="1" ht="24">
      <c r="A71" s="226" t="s">
        <v>895</v>
      </c>
      <c r="B71" s="245" t="s">
        <v>691</v>
      </c>
      <c r="C71" s="228"/>
      <c r="D71" s="228"/>
      <c r="E71" s="241"/>
      <c r="F71" s="241"/>
      <c r="G71" s="228"/>
      <c r="H71" s="229">
        <v>2.99</v>
      </c>
      <c r="I71" s="219">
        <f t="shared" si="19"/>
        <v>0</v>
      </c>
      <c r="J71" s="219">
        <f t="shared" si="2"/>
        <v>2.99</v>
      </c>
      <c r="K71" s="244"/>
      <c r="L71" s="244"/>
      <c r="M71" s="228"/>
      <c r="N71" s="228"/>
      <c r="O71" s="228"/>
      <c r="P71" s="228">
        <v>2.99</v>
      </c>
      <c r="Q71" s="219">
        <f t="shared" si="20"/>
        <v>0</v>
      </c>
      <c r="R71" s="219">
        <f t="shared" si="4"/>
        <v>2.99</v>
      </c>
      <c r="S71" s="222">
        <f>'приложение 1.1'!I68/1.18</f>
        <v>3.8644067796610178</v>
      </c>
      <c r="T71" s="230"/>
      <c r="U71" s="230"/>
      <c r="V71" s="228"/>
      <c r="W71" s="228"/>
      <c r="X71" s="228"/>
      <c r="Y71" s="228"/>
      <c r="Z71" s="228"/>
      <c r="AA71" s="228"/>
      <c r="AB71" s="219">
        <f t="shared" si="6"/>
        <v>0</v>
      </c>
      <c r="AC71" s="219">
        <f t="shared" si="7"/>
        <v>0</v>
      </c>
      <c r="AD71" s="241"/>
      <c r="AE71" s="241"/>
      <c r="AF71" s="228"/>
      <c r="AG71" s="228">
        <v>2.99</v>
      </c>
      <c r="AH71" s="219">
        <f t="shared" si="8"/>
        <v>0</v>
      </c>
      <c r="AI71" s="219">
        <f t="shared" si="9"/>
        <v>2.99</v>
      </c>
      <c r="AJ71" s="228"/>
      <c r="AK71" s="228"/>
      <c r="AL71" s="228"/>
      <c r="AM71" s="228"/>
      <c r="AN71" s="228"/>
      <c r="AO71" s="569"/>
      <c r="AP71" s="569">
        <f>'приложение 1.1'!V68</f>
        <v>4.5600000000000005</v>
      </c>
      <c r="AQ71" s="225">
        <f>'приложение 1.1'!W68</f>
        <v>4.5600000000000005</v>
      </c>
    </row>
    <row r="72" spans="1:43" s="189" customFormat="1" ht="24">
      <c r="A72" s="226" t="s">
        <v>896</v>
      </c>
      <c r="B72" s="245" t="s">
        <v>693</v>
      </c>
      <c r="C72" s="228"/>
      <c r="D72" s="228"/>
      <c r="E72" s="241"/>
      <c r="F72" s="241"/>
      <c r="G72" s="228"/>
      <c r="H72" s="229"/>
      <c r="I72" s="219">
        <f t="shared" si="19"/>
        <v>0</v>
      </c>
      <c r="J72" s="219">
        <f t="shared" si="2"/>
        <v>0</v>
      </c>
      <c r="K72" s="244"/>
      <c r="L72" s="244"/>
      <c r="M72" s="228"/>
      <c r="N72" s="228"/>
      <c r="O72" s="228"/>
      <c r="P72" s="228"/>
      <c r="Q72" s="219">
        <f t="shared" si="20"/>
        <v>0</v>
      </c>
      <c r="R72" s="219">
        <f t="shared" si="4"/>
        <v>0</v>
      </c>
      <c r="S72" s="222">
        <f>'приложение 1.1'!I69/1.18</f>
        <v>4.176271186440678</v>
      </c>
      <c r="T72" s="230"/>
      <c r="U72" s="230"/>
      <c r="V72" s="228"/>
      <c r="W72" s="228"/>
      <c r="X72" s="228"/>
      <c r="Y72" s="228"/>
      <c r="Z72" s="228"/>
      <c r="AA72" s="228"/>
      <c r="AB72" s="219">
        <f t="shared" si="6"/>
        <v>0</v>
      </c>
      <c r="AC72" s="219">
        <f t="shared" si="7"/>
        <v>0</v>
      </c>
      <c r="AD72" s="241"/>
      <c r="AE72" s="241"/>
      <c r="AF72" s="228"/>
      <c r="AG72" s="228"/>
      <c r="AH72" s="219">
        <f t="shared" si="8"/>
        <v>0</v>
      </c>
      <c r="AI72" s="219">
        <f t="shared" si="9"/>
        <v>0</v>
      </c>
      <c r="AJ72" s="228"/>
      <c r="AK72" s="228"/>
      <c r="AL72" s="228"/>
      <c r="AM72" s="228"/>
      <c r="AN72" s="228"/>
      <c r="AO72" s="569"/>
      <c r="AP72" s="569">
        <f>'приложение 1.1'!V69</f>
        <v>4.928</v>
      </c>
      <c r="AQ72" s="225">
        <f>'приложение 1.1'!W69</f>
        <v>4.928</v>
      </c>
    </row>
    <row r="73" spans="1:43" s="189" customFormat="1" ht="15">
      <c r="A73" s="226" t="s">
        <v>897</v>
      </c>
      <c r="B73" s="246" t="s">
        <v>695</v>
      </c>
      <c r="C73" s="228"/>
      <c r="D73" s="228"/>
      <c r="E73" s="241"/>
      <c r="F73" s="241"/>
      <c r="G73" s="228"/>
      <c r="H73" s="229"/>
      <c r="I73" s="219">
        <f t="shared" si="19"/>
        <v>0</v>
      </c>
      <c r="J73" s="219">
        <f t="shared" si="2"/>
        <v>0</v>
      </c>
      <c r="K73" s="244"/>
      <c r="L73" s="244"/>
      <c r="M73" s="228"/>
      <c r="N73" s="228"/>
      <c r="O73" s="228"/>
      <c r="P73" s="228"/>
      <c r="Q73" s="219">
        <f t="shared" si="20"/>
        <v>0</v>
      </c>
      <c r="R73" s="219">
        <f t="shared" si="4"/>
        <v>0</v>
      </c>
      <c r="S73" s="222">
        <f>'приложение 1.1'!I70/1.18</f>
        <v>1.076271186440678</v>
      </c>
      <c r="T73" s="230"/>
      <c r="U73" s="230"/>
      <c r="V73" s="228"/>
      <c r="W73" s="228"/>
      <c r="X73" s="228"/>
      <c r="Y73" s="228"/>
      <c r="Z73" s="228"/>
      <c r="AA73" s="228"/>
      <c r="AB73" s="219">
        <f t="shared" si="6"/>
        <v>0</v>
      </c>
      <c r="AC73" s="219">
        <f t="shared" si="7"/>
        <v>0</v>
      </c>
      <c r="AD73" s="241"/>
      <c r="AE73" s="241"/>
      <c r="AF73" s="228"/>
      <c r="AG73" s="228"/>
      <c r="AH73" s="219">
        <f t="shared" si="8"/>
        <v>0</v>
      </c>
      <c r="AI73" s="219">
        <f t="shared" si="9"/>
        <v>0</v>
      </c>
      <c r="AJ73" s="228"/>
      <c r="AK73" s="228"/>
      <c r="AL73" s="228"/>
      <c r="AM73" s="228"/>
      <c r="AN73" s="228"/>
      <c r="AO73" s="569"/>
      <c r="AP73" s="569">
        <f>'приложение 1.1'!V70</f>
        <v>1.27</v>
      </c>
      <c r="AQ73" s="225">
        <f>'приложение 1.1'!W70</f>
        <v>1.27</v>
      </c>
    </row>
    <row r="74" spans="1:43" s="189" customFormat="1" ht="15">
      <c r="A74" s="226" t="s">
        <v>898</v>
      </c>
      <c r="B74" s="246" t="s">
        <v>697</v>
      </c>
      <c r="C74" s="239"/>
      <c r="D74" s="239"/>
      <c r="E74" s="239"/>
      <c r="F74" s="239"/>
      <c r="G74" s="218"/>
      <c r="H74" s="247"/>
      <c r="I74" s="219">
        <f t="shared" si="19"/>
        <v>0</v>
      </c>
      <c r="J74" s="219">
        <f t="shared" si="2"/>
        <v>0</v>
      </c>
      <c r="K74" s="243"/>
      <c r="L74" s="243"/>
      <c r="M74" s="239"/>
      <c r="N74" s="239"/>
      <c r="O74" s="218"/>
      <c r="P74" s="218"/>
      <c r="Q74" s="219">
        <f t="shared" si="20"/>
        <v>0</v>
      </c>
      <c r="R74" s="219">
        <f t="shared" si="4"/>
        <v>0</v>
      </c>
      <c r="S74" s="222">
        <f>'приложение 1.1'!I71/1.18</f>
        <v>25.84322033898305</v>
      </c>
      <c r="T74" s="241"/>
      <c r="U74" s="241"/>
      <c r="V74" s="239"/>
      <c r="W74" s="239"/>
      <c r="X74" s="239"/>
      <c r="Y74" s="239"/>
      <c r="Z74" s="239"/>
      <c r="AA74" s="239"/>
      <c r="AB74" s="219">
        <f t="shared" si="6"/>
        <v>0</v>
      </c>
      <c r="AC74" s="219">
        <f t="shared" si="7"/>
        <v>0</v>
      </c>
      <c r="AD74" s="239"/>
      <c r="AE74" s="239"/>
      <c r="AF74" s="218"/>
      <c r="AG74" s="218"/>
      <c r="AH74" s="219">
        <f t="shared" si="8"/>
        <v>0</v>
      </c>
      <c r="AI74" s="219">
        <f t="shared" si="9"/>
        <v>0</v>
      </c>
      <c r="AJ74" s="239"/>
      <c r="AK74" s="239"/>
      <c r="AL74" s="239"/>
      <c r="AM74" s="239"/>
      <c r="AN74" s="239"/>
      <c r="AO74" s="569"/>
      <c r="AP74" s="569">
        <f>'приложение 1.1'!V71</f>
        <v>30.494999999999997</v>
      </c>
      <c r="AQ74" s="225">
        <f>'приложение 1.1'!W71</f>
        <v>30.494999999999997</v>
      </c>
    </row>
    <row r="75" spans="1:43" s="189" customFormat="1" ht="15">
      <c r="A75" s="226" t="s">
        <v>899</v>
      </c>
      <c r="B75" s="246" t="s">
        <v>699</v>
      </c>
      <c r="C75" s="228"/>
      <c r="D75" s="228"/>
      <c r="E75" s="228"/>
      <c r="F75" s="228"/>
      <c r="G75" s="218"/>
      <c r="H75" s="247"/>
      <c r="I75" s="219">
        <f t="shared" si="19"/>
        <v>0</v>
      </c>
      <c r="J75" s="219">
        <f t="shared" si="2"/>
        <v>0</v>
      </c>
      <c r="K75" s="244"/>
      <c r="L75" s="244"/>
      <c r="M75" s="228"/>
      <c r="N75" s="228"/>
      <c r="O75" s="228"/>
      <c r="P75" s="228"/>
      <c r="Q75" s="219">
        <f t="shared" si="20"/>
        <v>0</v>
      </c>
      <c r="R75" s="219">
        <f t="shared" si="4"/>
        <v>0</v>
      </c>
      <c r="S75" s="222">
        <f>'приложение 1.1'!I72/1.18</f>
        <v>7.199999999999999</v>
      </c>
      <c r="T75" s="230"/>
      <c r="U75" s="230"/>
      <c r="V75" s="228"/>
      <c r="W75" s="228"/>
      <c r="X75" s="228"/>
      <c r="Y75" s="228"/>
      <c r="Z75" s="228"/>
      <c r="AA75" s="228"/>
      <c r="AB75" s="219">
        <f t="shared" si="6"/>
        <v>0</v>
      </c>
      <c r="AC75" s="219">
        <f t="shared" si="7"/>
        <v>0</v>
      </c>
      <c r="AD75" s="228"/>
      <c r="AE75" s="228"/>
      <c r="AF75" s="218"/>
      <c r="AG75" s="218"/>
      <c r="AH75" s="219">
        <f t="shared" si="8"/>
        <v>0</v>
      </c>
      <c r="AI75" s="219">
        <f t="shared" si="9"/>
        <v>0</v>
      </c>
      <c r="AJ75" s="228"/>
      <c r="AK75" s="228"/>
      <c r="AL75" s="228"/>
      <c r="AM75" s="228"/>
      <c r="AN75" s="228"/>
      <c r="AO75" s="569"/>
      <c r="AP75" s="569">
        <f>'приложение 1.1'!V72</f>
        <v>8.495999999999999</v>
      </c>
      <c r="AQ75" s="225">
        <f>'приложение 1.1'!W72</f>
        <v>8.495999999999999</v>
      </c>
    </row>
    <row r="76" spans="1:43" s="189" customFormat="1" ht="15">
      <c r="A76" s="226" t="s">
        <v>900</v>
      </c>
      <c r="B76" s="246" t="s">
        <v>701</v>
      </c>
      <c r="C76" s="228"/>
      <c r="D76" s="228"/>
      <c r="E76" s="228"/>
      <c r="F76" s="228"/>
      <c r="G76" s="218"/>
      <c r="H76" s="247"/>
      <c r="I76" s="219">
        <f t="shared" si="19"/>
        <v>0</v>
      </c>
      <c r="J76" s="219">
        <f t="shared" si="2"/>
        <v>0</v>
      </c>
      <c r="K76" s="244"/>
      <c r="L76" s="244"/>
      <c r="M76" s="228"/>
      <c r="N76" s="228"/>
      <c r="O76" s="228"/>
      <c r="P76" s="228"/>
      <c r="Q76" s="219">
        <f t="shared" si="20"/>
        <v>0</v>
      </c>
      <c r="R76" s="219">
        <f t="shared" si="4"/>
        <v>0</v>
      </c>
      <c r="S76" s="222">
        <f>'приложение 1.1'!I73/1.18</f>
        <v>16.878813559322037</v>
      </c>
      <c r="T76" s="230"/>
      <c r="U76" s="230"/>
      <c r="V76" s="228"/>
      <c r="W76" s="228"/>
      <c r="X76" s="228"/>
      <c r="Y76" s="228"/>
      <c r="Z76" s="228"/>
      <c r="AA76" s="228"/>
      <c r="AB76" s="219">
        <f t="shared" si="6"/>
        <v>0</v>
      </c>
      <c r="AC76" s="219">
        <f t="shared" si="7"/>
        <v>0</v>
      </c>
      <c r="AD76" s="228"/>
      <c r="AE76" s="228"/>
      <c r="AF76" s="218"/>
      <c r="AG76" s="218"/>
      <c r="AH76" s="219">
        <f t="shared" si="8"/>
        <v>0</v>
      </c>
      <c r="AI76" s="219">
        <f t="shared" si="9"/>
        <v>0</v>
      </c>
      <c r="AJ76" s="228"/>
      <c r="AK76" s="228"/>
      <c r="AL76" s="228"/>
      <c r="AM76" s="228"/>
      <c r="AN76" s="228"/>
      <c r="AO76" s="569"/>
      <c r="AP76" s="569">
        <f>'приложение 1.1'!V73</f>
        <v>19.917</v>
      </c>
      <c r="AQ76" s="225">
        <f>'приложение 1.1'!W73</f>
        <v>19.917</v>
      </c>
    </row>
    <row r="77" spans="1:43" s="189" customFormat="1" ht="15">
      <c r="A77" s="226" t="s">
        <v>901</v>
      </c>
      <c r="B77" s="246" t="s">
        <v>703</v>
      </c>
      <c r="C77" s="228"/>
      <c r="D77" s="228"/>
      <c r="E77" s="228"/>
      <c r="F77" s="228"/>
      <c r="G77" s="218"/>
      <c r="H77" s="247"/>
      <c r="I77" s="219">
        <f t="shared" si="19"/>
        <v>0</v>
      </c>
      <c r="J77" s="219">
        <f t="shared" si="2"/>
        <v>0</v>
      </c>
      <c r="K77" s="244"/>
      <c r="L77" s="244"/>
      <c r="M77" s="228"/>
      <c r="N77" s="228"/>
      <c r="O77" s="228"/>
      <c r="P77" s="228"/>
      <c r="Q77" s="219">
        <f t="shared" si="20"/>
        <v>0</v>
      </c>
      <c r="R77" s="219">
        <f t="shared" si="4"/>
        <v>0</v>
      </c>
      <c r="S77" s="222">
        <f>'приложение 1.1'!I74/1.18</f>
        <v>5.27542372881356</v>
      </c>
      <c r="T77" s="230"/>
      <c r="U77" s="230"/>
      <c r="V77" s="228"/>
      <c r="W77" s="228"/>
      <c r="X77" s="228"/>
      <c r="Y77" s="228"/>
      <c r="Z77" s="228"/>
      <c r="AA77" s="228"/>
      <c r="AB77" s="219">
        <f t="shared" si="6"/>
        <v>0</v>
      </c>
      <c r="AC77" s="219">
        <f t="shared" si="7"/>
        <v>0</v>
      </c>
      <c r="AD77" s="228"/>
      <c r="AE77" s="228"/>
      <c r="AF77" s="218"/>
      <c r="AG77" s="218"/>
      <c r="AH77" s="219">
        <f t="shared" si="8"/>
        <v>0</v>
      </c>
      <c r="AI77" s="219">
        <f t="shared" si="9"/>
        <v>0</v>
      </c>
      <c r="AJ77" s="228"/>
      <c r="AK77" s="228"/>
      <c r="AL77" s="228"/>
      <c r="AM77" s="228"/>
      <c r="AN77" s="228"/>
      <c r="AO77" s="569"/>
      <c r="AP77" s="569">
        <f>'приложение 1.1'!V74</f>
        <v>6.225</v>
      </c>
      <c r="AQ77" s="225">
        <f>'приложение 1.1'!W74</f>
        <v>6.225</v>
      </c>
    </row>
    <row r="78" spans="1:43" s="189" customFormat="1" ht="15">
      <c r="A78" s="226" t="s">
        <v>902</v>
      </c>
      <c r="B78" s="246" t="s">
        <v>705</v>
      </c>
      <c r="C78" s="239"/>
      <c r="D78" s="239"/>
      <c r="E78" s="239"/>
      <c r="F78" s="239"/>
      <c r="G78" s="218">
        <v>0</v>
      </c>
      <c r="H78" s="247"/>
      <c r="I78" s="219">
        <f t="shared" si="19"/>
        <v>0</v>
      </c>
      <c r="J78" s="219">
        <f t="shared" si="2"/>
        <v>0</v>
      </c>
      <c r="K78" s="243"/>
      <c r="L78" s="243"/>
      <c r="M78" s="239"/>
      <c r="N78" s="239"/>
      <c r="O78" s="239">
        <v>0</v>
      </c>
      <c r="P78" s="239"/>
      <c r="Q78" s="219">
        <f t="shared" si="20"/>
        <v>0</v>
      </c>
      <c r="R78" s="219">
        <f t="shared" si="4"/>
        <v>0</v>
      </c>
      <c r="S78" s="222">
        <f>'приложение 1.1'!I75/1.18</f>
        <v>3.5618644067796614</v>
      </c>
      <c r="T78" s="241"/>
      <c r="U78" s="241"/>
      <c r="V78" s="239"/>
      <c r="W78" s="239"/>
      <c r="X78" s="239"/>
      <c r="Y78" s="239"/>
      <c r="Z78" s="239"/>
      <c r="AA78" s="239"/>
      <c r="AB78" s="219">
        <f t="shared" si="6"/>
        <v>0</v>
      </c>
      <c r="AC78" s="219">
        <f t="shared" si="7"/>
        <v>0</v>
      </c>
      <c r="AD78" s="239"/>
      <c r="AE78" s="239"/>
      <c r="AF78" s="218">
        <v>0</v>
      </c>
      <c r="AG78" s="218"/>
      <c r="AH78" s="219">
        <f t="shared" si="8"/>
        <v>0</v>
      </c>
      <c r="AI78" s="219">
        <f t="shared" si="9"/>
        <v>0</v>
      </c>
      <c r="AJ78" s="239"/>
      <c r="AK78" s="239"/>
      <c r="AL78" s="239"/>
      <c r="AM78" s="239"/>
      <c r="AN78" s="239"/>
      <c r="AO78" s="569"/>
      <c r="AP78" s="569">
        <f>'приложение 1.1'!V75</f>
        <v>4.203</v>
      </c>
      <c r="AQ78" s="225">
        <f>'приложение 1.1'!W75</f>
        <v>4.203</v>
      </c>
    </row>
    <row r="79" spans="1:43" s="189" customFormat="1" ht="15">
      <c r="A79" s="226" t="s">
        <v>903</v>
      </c>
      <c r="B79" s="246" t="s">
        <v>707</v>
      </c>
      <c r="C79" s="239"/>
      <c r="D79" s="239"/>
      <c r="E79" s="239"/>
      <c r="F79" s="239"/>
      <c r="G79" s="218">
        <v>0</v>
      </c>
      <c r="H79" s="247"/>
      <c r="I79" s="219">
        <f t="shared" si="19"/>
        <v>0</v>
      </c>
      <c r="J79" s="219">
        <f t="shared" si="2"/>
        <v>0</v>
      </c>
      <c r="K79" s="243"/>
      <c r="L79" s="243"/>
      <c r="M79" s="239"/>
      <c r="N79" s="239"/>
      <c r="O79" s="239">
        <v>0</v>
      </c>
      <c r="P79" s="239"/>
      <c r="Q79" s="219">
        <f t="shared" si="20"/>
        <v>0</v>
      </c>
      <c r="R79" s="219">
        <f t="shared" si="4"/>
        <v>0</v>
      </c>
      <c r="S79" s="222">
        <f>'приложение 1.1'!I76/1.18</f>
        <v>1.2686440677966102</v>
      </c>
      <c r="T79" s="241"/>
      <c r="U79" s="241"/>
      <c r="V79" s="239"/>
      <c r="W79" s="239"/>
      <c r="X79" s="239"/>
      <c r="Y79" s="239"/>
      <c r="Z79" s="239"/>
      <c r="AA79" s="239"/>
      <c r="AB79" s="219">
        <f t="shared" si="6"/>
        <v>0</v>
      </c>
      <c r="AC79" s="219">
        <f t="shared" si="7"/>
        <v>0</v>
      </c>
      <c r="AD79" s="239"/>
      <c r="AE79" s="239"/>
      <c r="AF79" s="218">
        <v>0</v>
      </c>
      <c r="AG79" s="218"/>
      <c r="AH79" s="219">
        <f t="shared" si="8"/>
        <v>0</v>
      </c>
      <c r="AI79" s="219">
        <f t="shared" si="9"/>
        <v>0</v>
      </c>
      <c r="AJ79" s="239"/>
      <c r="AK79" s="239"/>
      <c r="AL79" s="239"/>
      <c r="AM79" s="239"/>
      <c r="AN79" s="239"/>
      <c r="AO79" s="569"/>
      <c r="AP79" s="569">
        <f>'приложение 1.1'!V76</f>
        <v>1.4969999999999999</v>
      </c>
      <c r="AQ79" s="225">
        <f>'приложение 1.1'!W76</f>
        <v>1.4969999999999999</v>
      </c>
    </row>
    <row r="80" spans="1:43" s="189" customFormat="1" ht="15">
      <c r="A80" s="226" t="s">
        <v>904</v>
      </c>
      <c r="B80" s="246" t="s">
        <v>709</v>
      </c>
      <c r="C80" s="239"/>
      <c r="D80" s="239"/>
      <c r="E80" s="239"/>
      <c r="F80" s="239"/>
      <c r="G80" s="218">
        <v>0</v>
      </c>
      <c r="H80" s="247"/>
      <c r="I80" s="219">
        <f t="shared" si="19"/>
        <v>0</v>
      </c>
      <c r="J80" s="219">
        <f t="shared" si="2"/>
        <v>0</v>
      </c>
      <c r="K80" s="243"/>
      <c r="L80" s="243"/>
      <c r="M80" s="239"/>
      <c r="N80" s="239"/>
      <c r="O80" s="239">
        <v>0</v>
      </c>
      <c r="P80" s="239"/>
      <c r="Q80" s="219">
        <f t="shared" si="20"/>
        <v>0</v>
      </c>
      <c r="R80" s="219">
        <f t="shared" si="4"/>
        <v>0</v>
      </c>
      <c r="S80" s="222">
        <f>'приложение 1.1'!I77/1.18</f>
        <v>8.354237288135595</v>
      </c>
      <c r="T80" s="241"/>
      <c r="U80" s="241"/>
      <c r="V80" s="239"/>
      <c r="W80" s="239"/>
      <c r="X80" s="239"/>
      <c r="Y80" s="239"/>
      <c r="Z80" s="239"/>
      <c r="AA80" s="239"/>
      <c r="AB80" s="219">
        <f t="shared" si="6"/>
        <v>0</v>
      </c>
      <c r="AC80" s="219">
        <f t="shared" si="7"/>
        <v>0</v>
      </c>
      <c r="AD80" s="239"/>
      <c r="AE80" s="239"/>
      <c r="AF80" s="218">
        <v>0</v>
      </c>
      <c r="AG80" s="218"/>
      <c r="AH80" s="219">
        <f t="shared" si="8"/>
        <v>0</v>
      </c>
      <c r="AI80" s="219">
        <f t="shared" si="9"/>
        <v>0</v>
      </c>
      <c r="AJ80" s="239"/>
      <c r="AK80" s="239"/>
      <c r="AL80" s="239"/>
      <c r="AM80" s="239"/>
      <c r="AN80" s="239"/>
      <c r="AO80" s="569"/>
      <c r="AP80" s="569">
        <f>'приложение 1.1'!V77</f>
        <v>9.858</v>
      </c>
      <c r="AQ80" s="225">
        <f>'приложение 1.1'!W77</f>
        <v>9.858</v>
      </c>
    </row>
    <row r="81" spans="1:43" s="189" customFormat="1" ht="15">
      <c r="A81" s="226" t="s">
        <v>905</v>
      </c>
      <c r="B81" s="246" t="s">
        <v>711</v>
      </c>
      <c r="C81" s="239"/>
      <c r="D81" s="239"/>
      <c r="E81" s="239"/>
      <c r="F81" s="239"/>
      <c r="G81" s="218"/>
      <c r="H81" s="247"/>
      <c r="I81" s="219">
        <f t="shared" si="19"/>
        <v>0</v>
      </c>
      <c r="J81" s="219">
        <f t="shared" si="2"/>
        <v>0</v>
      </c>
      <c r="K81" s="243"/>
      <c r="L81" s="243"/>
      <c r="M81" s="239"/>
      <c r="N81" s="239"/>
      <c r="O81" s="239"/>
      <c r="P81" s="239"/>
      <c r="Q81" s="219">
        <f t="shared" si="20"/>
        <v>0</v>
      </c>
      <c r="R81" s="219">
        <f t="shared" si="4"/>
        <v>0</v>
      </c>
      <c r="S81" s="222">
        <f>'приложение 1.1'!I78/1.18</f>
        <v>0.8974576271186441</v>
      </c>
      <c r="T81" s="241"/>
      <c r="U81" s="241"/>
      <c r="V81" s="239"/>
      <c r="W81" s="239"/>
      <c r="X81" s="239"/>
      <c r="Y81" s="239"/>
      <c r="Z81" s="239"/>
      <c r="AA81" s="239"/>
      <c r="AB81" s="219">
        <f t="shared" si="6"/>
        <v>0</v>
      </c>
      <c r="AC81" s="219">
        <f t="shared" si="7"/>
        <v>0</v>
      </c>
      <c r="AD81" s="239"/>
      <c r="AE81" s="239"/>
      <c r="AF81" s="218"/>
      <c r="AG81" s="218"/>
      <c r="AH81" s="219">
        <f t="shared" si="8"/>
        <v>0</v>
      </c>
      <c r="AI81" s="219">
        <f t="shared" si="9"/>
        <v>0</v>
      </c>
      <c r="AJ81" s="239"/>
      <c r="AK81" s="239"/>
      <c r="AL81" s="239"/>
      <c r="AM81" s="239"/>
      <c r="AN81" s="239"/>
      <c r="AO81" s="569"/>
      <c r="AP81" s="569">
        <f>'приложение 1.1'!V78</f>
        <v>1.059</v>
      </c>
      <c r="AQ81" s="225">
        <f>'приложение 1.1'!W78</f>
        <v>1.059</v>
      </c>
    </row>
    <row r="82" spans="1:43" s="189" customFormat="1" ht="15">
      <c r="A82" s="226" t="s">
        <v>906</v>
      </c>
      <c r="B82" s="246" t="s">
        <v>713</v>
      </c>
      <c r="C82" s="239"/>
      <c r="D82" s="239"/>
      <c r="E82" s="239"/>
      <c r="F82" s="239"/>
      <c r="G82" s="218"/>
      <c r="H82" s="247"/>
      <c r="I82" s="219">
        <f t="shared" si="19"/>
        <v>0</v>
      </c>
      <c r="J82" s="219">
        <f t="shared" si="2"/>
        <v>0</v>
      </c>
      <c r="K82" s="243"/>
      <c r="L82" s="243"/>
      <c r="M82" s="239"/>
      <c r="N82" s="239"/>
      <c r="O82" s="239"/>
      <c r="P82" s="239"/>
      <c r="Q82" s="219">
        <f t="shared" si="20"/>
        <v>0</v>
      </c>
      <c r="R82" s="219">
        <f t="shared" si="4"/>
        <v>0</v>
      </c>
      <c r="S82" s="222">
        <f>'приложение 1.1'!I79/1.18</f>
        <v>0.8974576271186441</v>
      </c>
      <c r="T82" s="241"/>
      <c r="U82" s="241"/>
      <c r="V82" s="239"/>
      <c r="W82" s="239"/>
      <c r="X82" s="239"/>
      <c r="Y82" s="239"/>
      <c r="Z82" s="239"/>
      <c r="AA82" s="239"/>
      <c r="AB82" s="219">
        <f t="shared" si="6"/>
        <v>0</v>
      </c>
      <c r="AC82" s="219">
        <f t="shared" si="7"/>
        <v>0</v>
      </c>
      <c r="AD82" s="239"/>
      <c r="AE82" s="239"/>
      <c r="AF82" s="218"/>
      <c r="AG82" s="218"/>
      <c r="AH82" s="219">
        <f t="shared" si="8"/>
        <v>0</v>
      </c>
      <c r="AI82" s="219">
        <f t="shared" si="9"/>
        <v>0</v>
      </c>
      <c r="AJ82" s="239"/>
      <c r="AK82" s="239"/>
      <c r="AL82" s="239"/>
      <c r="AM82" s="239"/>
      <c r="AN82" s="239"/>
      <c r="AO82" s="569"/>
      <c r="AP82" s="569">
        <f>'приложение 1.1'!V79</f>
        <v>1.059</v>
      </c>
      <c r="AQ82" s="225">
        <f>'приложение 1.1'!W79</f>
        <v>1.059</v>
      </c>
    </row>
    <row r="83" spans="1:43" s="189" customFormat="1" ht="15">
      <c r="A83" s="226" t="s">
        <v>907</v>
      </c>
      <c r="B83" s="246" t="s">
        <v>715</v>
      </c>
      <c r="C83" s="239"/>
      <c r="D83" s="239"/>
      <c r="E83" s="239"/>
      <c r="F83" s="239"/>
      <c r="G83" s="218">
        <v>0.63</v>
      </c>
      <c r="H83" s="247"/>
      <c r="I83" s="219">
        <f t="shared" si="19"/>
        <v>0.63</v>
      </c>
      <c r="J83" s="219">
        <f t="shared" si="2"/>
        <v>0</v>
      </c>
      <c r="K83" s="243"/>
      <c r="L83" s="243"/>
      <c r="M83" s="239"/>
      <c r="N83" s="239"/>
      <c r="O83" s="218">
        <v>0.63</v>
      </c>
      <c r="P83" s="218"/>
      <c r="Q83" s="219">
        <f t="shared" si="20"/>
        <v>0.63</v>
      </c>
      <c r="R83" s="219">
        <f t="shared" si="4"/>
        <v>0</v>
      </c>
      <c r="S83" s="222">
        <f>'приложение 1.1'!I80/1.18</f>
        <v>0.9152542372881355</v>
      </c>
      <c r="T83" s="241"/>
      <c r="U83" s="241"/>
      <c r="V83" s="239"/>
      <c r="W83" s="239"/>
      <c r="X83" s="239"/>
      <c r="Y83" s="239"/>
      <c r="Z83" s="239"/>
      <c r="AA83" s="239"/>
      <c r="AB83" s="219">
        <f t="shared" si="6"/>
        <v>0</v>
      </c>
      <c r="AC83" s="219">
        <f t="shared" si="7"/>
        <v>0</v>
      </c>
      <c r="AD83" s="239"/>
      <c r="AE83" s="239"/>
      <c r="AF83" s="218">
        <v>0.63</v>
      </c>
      <c r="AG83" s="218"/>
      <c r="AH83" s="219">
        <f t="shared" si="8"/>
        <v>0.63</v>
      </c>
      <c r="AI83" s="219">
        <f t="shared" si="9"/>
        <v>0</v>
      </c>
      <c r="AJ83" s="239"/>
      <c r="AK83" s="239"/>
      <c r="AL83" s="239"/>
      <c r="AM83" s="239"/>
      <c r="AN83" s="239"/>
      <c r="AO83" s="569"/>
      <c r="AP83" s="569">
        <f>'приложение 1.1'!V80</f>
        <v>1.0799999999999998</v>
      </c>
      <c r="AQ83" s="225">
        <f>'приложение 1.1'!W80</f>
        <v>1.0799999999999998</v>
      </c>
    </row>
    <row r="84" spans="1:43" s="189" customFormat="1" ht="15">
      <c r="A84" s="226" t="s">
        <v>908</v>
      </c>
      <c r="B84" s="246" t="s">
        <v>717</v>
      </c>
      <c r="C84" s="239"/>
      <c r="D84" s="239"/>
      <c r="E84" s="239"/>
      <c r="F84" s="239"/>
      <c r="G84" s="218">
        <v>0.4</v>
      </c>
      <c r="H84" s="247"/>
      <c r="I84" s="219">
        <f t="shared" si="19"/>
        <v>0.4</v>
      </c>
      <c r="J84" s="219">
        <f t="shared" si="2"/>
        <v>0</v>
      </c>
      <c r="K84" s="243"/>
      <c r="L84" s="243"/>
      <c r="M84" s="239"/>
      <c r="N84" s="239"/>
      <c r="O84" s="239">
        <v>0.4</v>
      </c>
      <c r="P84" s="239"/>
      <c r="Q84" s="219">
        <f t="shared" si="20"/>
        <v>0.4</v>
      </c>
      <c r="R84" s="219">
        <f t="shared" si="4"/>
        <v>0</v>
      </c>
      <c r="S84" s="222">
        <f>'приложение 1.1'!I81/1.18</f>
        <v>0.7838983050847459</v>
      </c>
      <c r="T84" s="241"/>
      <c r="U84" s="241"/>
      <c r="V84" s="239"/>
      <c r="W84" s="239"/>
      <c r="X84" s="239"/>
      <c r="Y84" s="239"/>
      <c r="Z84" s="239"/>
      <c r="AA84" s="239"/>
      <c r="AB84" s="219">
        <f t="shared" si="6"/>
        <v>0</v>
      </c>
      <c r="AC84" s="219">
        <f t="shared" si="7"/>
        <v>0</v>
      </c>
      <c r="AD84" s="239"/>
      <c r="AE84" s="239"/>
      <c r="AF84" s="218">
        <v>0.4</v>
      </c>
      <c r="AG84" s="218"/>
      <c r="AH84" s="219">
        <f t="shared" si="8"/>
        <v>0.4</v>
      </c>
      <c r="AI84" s="219">
        <f t="shared" si="9"/>
        <v>0</v>
      </c>
      <c r="AJ84" s="239"/>
      <c r="AK84" s="239"/>
      <c r="AL84" s="239"/>
      <c r="AM84" s="239"/>
      <c r="AN84" s="239"/>
      <c r="AO84" s="569"/>
      <c r="AP84" s="569">
        <f>'приложение 1.1'!V81</f>
        <v>0.925</v>
      </c>
      <c r="AQ84" s="225">
        <f>'приложение 1.1'!W81</f>
        <v>0.925</v>
      </c>
    </row>
    <row r="85" spans="1:43" s="189" customFormat="1" ht="15">
      <c r="A85" s="226" t="s">
        <v>909</v>
      </c>
      <c r="B85" s="246" t="s">
        <v>719</v>
      </c>
      <c r="C85" s="239"/>
      <c r="D85" s="239"/>
      <c r="E85" s="239"/>
      <c r="F85" s="239"/>
      <c r="G85" s="218">
        <v>0.8</v>
      </c>
      <c r="H85" s="247"/>
      <c r="I85" s="219">
        <f t="shared" si="19"/>
        <v>0.8</v>
      </c>
      <c r="J85" s="219">
        <f t="shared" si="2"/>
        <v>0</v>
      </c>
      <c r="K85" s="243"/>
      <c r="L85" s="243"/>
      <c r="M85" s="239"/>
      <c r="N85" s="239"/>
      <c r="O85" s="239">
        <v>0.8</v>
      </c>
      <c r="P85" s="239"/>
      <c r="Q85" s="219">
        <f t="shared" si="20"/>
        <v>0.8</v>
      </c>
      <c r="R85" s="219">
        <f t="shared" si="4"/>
        <v>0</v>
      </c>
      <c r="S85" s="222">
        <f>'приложение 1.1'!I82/1.18</f>
        <v>13.632203389830511</v>
      </c>
      <c r="T85" s="241"/>
      <c r="U85" s="241"/>
      <c r="V85" s="239"/>
      <c r="W85" s="239"/>
      <c r="X85" s="239"/>
      <c r="Y85" s="239"/>
      <c r="Z85" s="239"/>
      <c r="AA85" s="239"/>
      <c r="AB85" s="219">
        <f t="shared" si="6"/>
        <v>0</v>
      </c>
      <c r="AC85" s="219">
        <f t="shared" si="7"/>
        <v>0</v>
      </c>
      <c r="AD85" s="239"/>
      <c r="AE85" s="239"/>
      <c r="AF85" s="218">
        <v>0.8</v>
      </c>
      <c r="AG85" s="218"/>
      <c r="AH85" s="219">
        <f t="shared" si="8"/>
        <v>0.8</v>
      </c>
      <c r="AI85" s="219">
        <f t="shared" si="9"/>
        <v>0</v>
      </c>
      <c r="AJ85" s="239"/>
      <c r="AK85" s="239"/>
      <c r="AL85" s="239"/>
      <c r="AM85" s="239"/>
      <c r="AN85" s="239"/>
      <c r="AO85" s="569"/>
      <c r="AP85" s="569">
        <f>'приложение 1.1'!V82</f>
        <v>16.086000000000002</v>
      </c>
      <c r="AQ85" s="225">
        <f>'приложение 1.1'!W82</f>
        <v>16.086000000000002</v>
      </c>
    </row>
    <row r="86" spans="1:43" s="189" customFormat="1" ht="31.5" customHeight="1">
      <c r="A86" s="226" t="s">
        <v>910</v>
      </c>
      <c r="B86" s="246" t="s">
        <v>721</v>
      </c>
      <c r="C86" s="239"/>
      <c r="D86" s="239"/>
      <c r="E86" s="239"/>
      <c r="F86" s="239"/>
      <c r="G86" s="218">
        <v>0.4</v>
      </c>
      <c r="H86" s="247"/>
      <c r="I86" s="219">
        <f t="shared" si="19"/>
        <v>0.4</v>
      </c>
      <c r="J86" s="219">
        <f t="shared" si="2"/>
        <v>0</v>
      </c>
      <c r="K86" s="243"/>
      <c r="L86" s="243"/>
      <c r="M86" s="239"/>
      <c r="N86" s="239"/>
      <c r="O86" s="239">
        <v>0.4</v>
      </c>
      <c r="P86" s="239"/>
      <c r="Q86" s="219">
        <f t="shared" si="20"/>
        <v>0.4</v>
      </c>
      <c r="R86" s="219">
        <f t="shared" si="4"/>
        <v>0</v>
      </c>
      <c r="S86" s="222">
        <f>'приложение 1.1'!I83/1.18</f>
        <v>0.7711864406779662</v>
      </c>
      <c r="T86" s="241"/>
      <c r="U86" s="241"/>
      <c r="V86" s="239"/>
      <c r="W86" s="239"/>
      <c r="X86" s="239"/>
      <c r="Y86" s="239"/>
      <c r="Z86" s="239"/>
      <c r="AA86" s="239"/>
      <c r="AB86" s="219">
        <f t="shared" si="6"/>
        <v>0</v>
      </c>
      <c r="AC86" s="219">
        <f t="shared" si="7"/>
        <v>0</v>
      </c>
      <c r="AD86" s="239"/>
      <c r="AE86" s="239"/>
      <c r="AF86" s="218">
        <v>0.4</v>
      </c>
      <c r="AG86" s="218"/>
      <c r="AH86" s="219">
        <f t="shared" si="8"/>
        <v>0.4</v>
      </c>
      <c r="AI86" s="219">
        <f t="shared" si="9"/>
        <v>0</v>
      </c>
      <c r="AJ86" s="239"/>
      <c r="AK86" s="239"/>
      <c r="AL86" s="239"/>
      <c r="AM86" s="239"/>
      <c r="AN86" s="239"/>
      <c r="AO86" s="569"/>
      <c r="AP86" s="569">
        <f>'приложение 1.1'!V83</f>
        <v>0.91</v>
      </c>
      <c r="AQ86" s="225">
        <f>'приложение 1.1'!W83</f>
        <v>0.91</v>
      </c>
    </row>
    <row r="87" spans="1:43" s="189" customFormat="1" ht="31.5" customHeight="1">
      <c r="A87" s="226" t="s">
        <v>911</v>
      </c>
      <c r="B87" s="246" t="s">
        <v>723</v>
      </c>
      <c r="C87" s="239"/>
      <c r="D87" s="239"/>
      <c r="E87" s="239"/>
      <c r="F87" s="239"/>
      <c r="G87" s="218">
        <v>0.4</v>
      </c>
      <c r="H87" s="247"/>
      <c r="I87" s="219">
        <f t="shared" si="19"/>
        <v>0.4</v>
      </c>
      <c r="J87" s="219">
        <f t="shared" si="2"/>
        <v>0</v>
      </c>
      <c r="K87" s="243"/>
      <c r="L87" s="243"/>
      <c r="M87" s="239"/>
      <c r="N87" s="239"/>
      <c r="O87" s="239">
        <v>0.4</v>
      </c>
      <c r="P87" s="239"/>
      <c r="Q87" s="219">
        <f t="shared" si="20"/>
        <v>0.4</v>
      </c>
      <c r="R87" s="219">
        <f t="shared" si="4"/>
        <v>0</v>
      </c>
      <c r="S87" s="222">
        <f>'приложение 1.1'!I84/1.18</f>
        <v>0.7720338983050848</v>
      </c>
      <c r="T87" s="241"/>
      <c r="U87" s="241"/>
      <c r="V87" s="239"/>
      <c r="W87" s="239"/>
      <c r="X87" s="239"/>
      <c r="Y87" s="239"/>
      <c r="Z87" s="239"/>
      <c r="AA87" s="239"/>
      <c r="AB87" s="219">
        <f t="shared" si="6"/>
        <v>0</v>
      </c>
      <c r="AC87" s="219">
        <f t="shared" si="7"/>
        <v>0</v>
      </c>
      <c r="AD87" s="239"/>
      <c r="AE87" s="239"/>
      <c r="AF87" s="218">
        <v>0.4</v>
      </c>
      <c r="AG87" s="218"/>
      <c r="AH87" s="219">
        <f t="shared" si="8"/>
        <v>0.4</v>
      </c>
      <c r="AI87" s="219">
        <f t="shared" si="9"/>
        <v>0</v>
      </c>
      <c r="AJ87" s="239"/>
      <c r="AK87" s="239"/>
      <c r="AL87" s="239"/>
      <c r="AM87" s="239"/>
      <c r="AN87" s="239"/>
      <c r="AO87" s="569"/>
      <c r="AP87" s="569">
        <f>'приложение 1.1'!V84</f>
        <v>0.911</v>
      </c>
      <c r="AQ87" s="225">
        <f>'приложение 1.1'!W84</f>
        <v>0.911</v>
      </c>
    </row>
    <row r="88" spans="1:43" s="189" customFormat="1" ht="31.5" customHeight="1">
      <c r="A88" s="226" t="s">
        <v>912</v>
      </c>
      <c r="B88" s="246" t="s">
        <v>725</v>
      </c>
      <c r="C88" s="239"/>
      <c r="D88" s="239"/>
      <c r="E88" s="239"/>
      <c r="F88" s="239"/>
      <c r="G88" s="218">
        <v>0.4</v>
      </c>
      <c r="H88" s="247"/>
      <c r="I88" s="219">
        <f t="shared" si="19"/>
        <v>0.4</v>
      </c>
      <c r="J88" s="219">
        <f t="shared" si="2"/>
        <v>0</v>
      </c>
      <c r="K88" s="243"/>
      <c r="L88" s="243"/>
      <c r="M88" s="239"/>
      <c r="N88" s="239"/>
      <c r="O88" s="239">
        <v>0.4</v>
      </c>
      <c r="P88" s="239"/>
      <c r="Q88" s="219">
        <f t="shared" si="20"/>
        <v>0.4</v>
      </c>
      <c r="R88" s="219">
        <f t="shared" si="4"/>
        <v>0</v>
      </c>
      <c r="S88" s="222">
        <f>'приложение 1.1'!I85/1.18</f>
        <v>1.1398305084745763</v>
      </c>
      <c r="T88" s="241"/>
      <c r="U88" s="241"/>
      <c r="V88" s="239"/>
      <c r="W88" s="239"/>
      <c r="X88" s="239"/>
      <c r="Y88" s="239"/>
      <c r="Z88" s="239"/>
      <c r="AA88" s="239"/>
      <c r="AB88" s="219">
        <f t="shared" si="6"/>
        <v>0</v>
      </c>
      <c r="AC88" s="219">
        <f t="shared" si="7"/>
        <v>0</v>
      </c>
      <c r="AD88" s="239"/>
      <c r="AE88" s="239"/>
      <c r="AF88" s="218">
        <v>0.4</v>
      </c>
      <c r="AG88" s="218"/>
      <c r="AH88" s="219">
        <f t="shared" si="8"/>
        <v>0.4</v>
      </c>
      <c r="AI88" s="219">
        <f t="shared" si="9"/>
        <v>0</v>
      </c>
      <c r="AJ88" s="239"/>
      <c r="AK88" s="239"/>
      <c r="AL88" s="239"/>
      <c r="AM88" s="239"/>
      <c r="AN88" s="239"/>
      <c r="AO88" s="569"/>
      <c r="AP88" s="569">
        <f>'приложение 1.1'!V85</f>
        <v>1.345</v>
      </c>
      <c r="AQ88" s="225">
        <f>'приложение 1.1'!W85</f>
        <v>1.345</v>
      </c>
    </row>
    <row r="89" spans="1:43" s="189" customFormat="1" ht="15">
      <c r="A89" s="226" t="s">
        <v>913</v>
      </c>
      <c r="B89" s="246" t="s">
        <v>727</v>
      </c>
      <c r="C89" s="239"/>
      <c r="D89" s="239"/>
      <c r="E89" s="239"/>
      <c r="F89" s="239"/>
      <c r="G89" s="218">
        <v>0.4</v>
      </c>
      <c r="H89" s="247"/>
      <c r="I89" s="219">
        <f t="shared" si="19"/>
        <v>0.4</v>
      </c>
      <c r="J89" s="219">
        <f t="shared" si="2"/>
        <v>0</v>
      </c>
      <c r="K89" s="243"/>
      <c r="L89" s="243"/>
      <c r="M89" s="239"/>
      <c r="N89" s="239"/>
      <c r="O89" s="218">
        <v>0.4</v>
      </c>
      <c r="P89" s="218"/>
      <c r="Q89" s="219">
        <f t="shared" si="20"/>
        <v>0.4</v>
      </c>
      <c r="R89" s="219">
        <f t="shared" si="4"/>
        <v>0</v>
      </c>
      <c r="S89" s="222">
        <f>'приложение 1.1'!I86/1.18</f>
        <v>1.1398305084745763</v>
      </c>
      <c r="T89" s="241"/>
      <c r="U89" s="241"/>
      <c r="V89" s="239"/>
      <c r="W89" s="239"/>
      <c r="X89" s="239"/>
      <c r="Y89" s="239"/>
      <c r="Z89" s="239"/>
      <c r="AA89" s="239"/>
      <c r="AB89" s="219">
        <f t="shared" si="6"/>
        <v>0</v>
      </c>
      <c r="AC89" s="219">
        <f t="shared" si="7"/>
        <v>0</v>
      </c>
      <c r="AD89" s="239"/>
      <c r="AE89" s="239"/>
      <c r="AF89" s="218">
        <v>0.4</v>
      </c>
      <c r="AG89" s="218"/>
      <c r="AH89" s="219">
        <f t="shared" si="8"/>
        <v>0.4</v>
      </c>
      <c r="AI89" s="219">
        <f t="shared" si="9"/>
        <v>0</v>
      </c>
      <c r="AJ89" s="239"/>
      <c r="AK89" s="239"/>
      <c r="AL89" s="239"/>
      <c r="AM89" s="239"/>
      <c r="AN89" s="239"/>
      <c r="AO89" s="569"/>
      <c r="AP89" s="569">
        <f>'приложение 1.1'!V86</f>
        <v>1.345</v>
      </c>
      <c r="AQ89" s="225">
        <f>'приложение 1.1'!W86</f>
        <v>1.345</v>
      </c>
    </row>
    <row r="90" spans="1:43" s="189" customFormat="1" ht="15">
      <c r="A90" s="226" t="s">
        <v>914</v>
      </c>
      <c r="B90" s="246" t="s">
        <v>729</v>
      </c>
      <c r="C90" s="239"/>
      <c r="D90" s="239"/>
      <c r="E90" s="239"/>
      <c r="F90" s="239"/>
      <c r="G90" s="218"/>
      <c r="H90" s="247">
        <v>0.08</v>
      </c>
      <c r="I90" s="219">
        <f t="shared" si="19"/>
        <v>0</v>
      </c>
      <c r="J90" s="219">
        <f t="shared" si="2"/>
        <v>0.08</v>
      </c>
      <c r="K90" s="243"/>
      <c r="L90" s="243"/>
      <c r="M90" s="239"/>
      <c r="N90" s="239"/>
      <c r="O90" s="218"/>
      <c r="P90" s="218">
        <v>0.08</v>
      </c>
      <c r="Q90" s="219">
        <f t="shared" si="20"/>
        <v>0</v>
      </c>
      <c r="R90" s="219">
        <f t="shared" si="4"/>
        <v>0.08</v>
      </c>
      <c r="S90" s="222">
        <f>'приложение 1.1'!I87/1.18</f>
        <v>0.11949152542372883</v>
      </c>
      <c r="T90" s="241"/>
      <c r="U90" s="241"/>
      <c r="V90" s="239"/>
      <c r="W90" s="239"/>
      <c r="X90" s="239"/>
      <c r="Y90" s="239"/>
      <c r="Z90" s="239"/>
      <c r="AA90" s="239"/>
      <c r="AB90" s="219">
        <f t="shared" si="6"/>
        <v>0</v>
      </c>
      <c r="AC90" s="219">
        <f t="shared" si="7"/>
        <v>0</v>
      </c>
      <c r="AD90" s="239"/>
      <c r="AE90" s="239"/>
      <c r="AF90" s="218"/>
      <c r="AG90" s="218">
        <v>0.08</v>
      </c>
      <c r="AH90" s="219">
        <f t="shared" si="8"/>
        <v>0</v>
      </c>
      <c r="AI90" s="219">
        <f t="shared" si="9"/>
        <v>0.08</v>
      </c>
      <c r="AJ90" s="239"/>
      <c r="AK90" s="239"/>
      <c r="AL90" s="239"/>
      <c r="AM90" s="239"/>
      <c r="AN90" s="239"/>
      <c r="AO90" s="569"/>
      <c r="AP90" s="569">
        <f>'приложение 1.1'!V87</f>
        <v>0.14100000000000001</v>
      </c>
      <c r="AQ90" s="225">
        <f>'приложение 1.1'!W87</f>
        <v>0.14100000000000001</v>
      </c>
    </row>
    <row r="91" spans="1:43" s="189" customFormat="1" ht="15">
      <c r="A91" s="226" t="s">
        <v>915</v>
      </c>
      <c r="B91" s="246" t="s">
        <v>731</v>
      </c>
      <c r="C91" s="239"/>
      <c r="D91" s="239"/>
      <c r="E91" s="239"/>
      <c r="F91" s="239"/>
      <c r="G91" s="218"/>
      <c r="H91" s="247">
        <v>0.14</v>
      </c>
      <c r="I91" s="219">
        <f t="shared" si="19"/>
        <v>0</v>
      </c>
      <c r="J91" s="219">
        <f t="shared" si="2"/>
        <v>0.14</v>
      </c>
      <c r="K91" s="243"/>
      <c r="L91" s="243"/>
      <c r="M91" s="239"/>
      <c r="N91" s="239"/>
      <c r="O91" s="218"/>
      <c r="P91" s="218">
        <v>0.14</v>
      </c>
      <c r="Q91" s="219">
        <f t="shared" si="20"/>
        <v>0</v>
      </c>
      <c r="R91" s="219">
        <f t="shared" si="4"/>
        <v>0.14</v>
      </c>
      <c r="S91" s="222">
        <f>'приложение 1.1'!I88/1.18</f>
        <v>0.4228813559322034</v>
      </c>
      <c r="T91" s="241"/>
      <c r="U91" s="241"/>
      <c r="V91" s="239"/>
      <c r="W91" s="239"/>
      <c r="X91" s="239"/>
      <c r="Y91" s="239"/>
      <c r="Z91" s="239"/>
      <c r="AA91" s="239"/>
      <c r="AB91" s="219">
        <f t="shared" si="6"/>
        <v>0</v>
      </c>
      <c r="AC91" s="219">
        <f t="shared" si="7"/>
        <v>0</v>
      </c>
      <c r="AD91" s="239"/>
      <c r="AE91" s="239"/>
      <c r="AF91" s="218"/>
      <c r="AG91" s="218">
        <v>0.14</v>
      </c>
      <c r="AH91" s="219">
        <f t="shared" si="8"/>
        <v>0</v>
      </c>
      <c r="AI91" s="219">
        <f t="shared" si="9"/>
        <v>0.14</v>
      </c>
      <c r="AJ91" s="239"/>
      <c r="AK91" s="239"/>
      <c r="AL91" s="239"/>
      <c r="AM91" s="239"/>
      <c r="AN91" s="239"/>
      <c r="AO91" s="569"/>
      <c r="AP91" s="569">
        <f>'приложение 1.1'!V88</f>
        <v>0.499</v>
      </c>
      <c r="AQ91" s="225">
        <f>'приложение 1.1'!W88</f>
        <v>0.499</v>
      </c>
    </row>
    <row r="92" spans="1:43" s="189" customFormat="1" ht="15">
      <c r="A92" s="226" t="s">
        <v>916</v>
      </c>
      <c r="B92" s="246" t="s">
        <v>733</v>
      </c>
      <c r="C92" s="239"/>
      <c r="D92" s="239"/>
      <c r="E92" s="239"/>
      <c r="F92" s="239"/>
      <c r="G92" s="218"/>
      <c r="H92" s="247">
        <v>0.39</v>
      </c>
      <c r="I92" s="219">
        <f t="shared" si="19"/>
        <v>0</v>
      </c>
      <c r="J92" s="219">
        <f t="shared" si="2"/>
        <v>0.39</v>
      </c>
      <c r="K92" s="243"/>
      <c r="L92" s="243"/>
      <c r="M92" s="239"/>
      <c r="N92" s="239"/>
      <c r="O92" s="218"/>
      <c r="P92" s="218">
        <v>0.39</v>
      </c>
      <c r="Q92" s="219">
        <f t="shared" si="20"/>
        <v>0</v>
      </c>
      <c r="R92" s="219">
        <f t="shared" si="4"/>
        <v>0.39</v>
      </c>
      <c r="S92" s="222">
        <f>'приложение 1.1'!I89/1.18</f>
        <v>0.23728813559322037</v>
      </c>
      <c r="T92" s="241"/>
      <c r="U92" s="241"/>
      <c r="V92" s="239"/>
      <c r="W92" s="239"/>
      <c r="X92" s="239"/>
      <c r="Y92" s="239"/>
      <c r="Z92" s="239"/>
      <c r="AA92" s="239"/>
      <c r="AB92" s="219">
        <f t="shared" si="6"/>
        <v>0</v>
      </c>
      <c r="AC92" s="219">
        <f t="shared" si="7"/>
        <v>0</v>
      </c>
      <c r="AD92" s="239"/>
      <c r="AE92" s="239"/>
      <c r="AF92" s="218"/>
      <c r="AG92" s="218">
        <v>0.39</v>
      </c>
      <c r="AH92" s="219">
        <f t="shared" si="8"/>
        <v>0</v>
      </c>
      <c r="AI92" s="219">
        <f t="shared" si="9"/>
        <v>0.39</v>
      </c>
      <c r="AJ92" s="239"/>
      <c r="AK92" s="239"/>
      <c r="AL92" s="239"/>
      <c r="AM92" s="239"/>
      <c r="AN92" s="239"/>
      <c r="AO92" s="569"/>
      <c r="AP92" s="569">
        <f>'приложение 1.1'!V89</f>
        <v>0.28</v>
      </c>
      <c r="AQ92" s="225">
        <f>'приложение 1.1'!W89</f>
        <v>0.28</v>
      </c>
    </row>
    <row r="93" spans="1:43" s="189" customFormat="1" ht="15">
      <c r="A93" s="226" t="s">
        <v>917</v>
      </c>
      <c r="B93" s="246" t="s">
        <v>734</v>
      </c>
      <c r="C93" s="239"/>
      <c r="D93" s="239"/>
      <c r="E93" s="239"/>
      <c r="F93" s="239"/>
      <c r="G93" s="218"/>
      <c r="H93" s="247">
        <v>0.32</v>
      </c>
      <c r="I93" s="219">
        <f t="shared" si="19"/>
        <v>0</v>
      </c>
      <c r="J93" s="219">
        <f t="shared" si="2"/>
        <v>0.32</v>
      </c>
      <c r="K93" s="243"/>
      <c r="L93" s="243"/>
      <c r="M93" s="239"/>
      <c r="N93" s="239"/>
      <c r="O93" s="218"/>
      <c r="P93" s="218">
        <v>0.32</v>
      </c>
      <c r="Q93" s="219">
        <f t="shared" si="20"/>
        <v>0</v>
      </c>
      <c r="R93" s="219">
        <f t="shared" si="4"/>
        <v>0.32</v>
      </c>
      <c r="S93" s="222">
        <f>'приложение 1.1'!I90/1.18</f>
        <v>0.3923728813559322</v>
      </c>
      <c r="T93" s="241"/>
      <c r="U93" s="241"/>
      <c r="V93" s="239"/>
      <c r="W93" s="239"/>
      <c r="X93" s="239"/>
      <c r="Y93" s="239"/>
      <c r="Z93" s="239"/>
      <c r="AA93" s="239"/>
      <c r="AB93" s="219">
        <f t="shared" si="6"/>
        <v>0</v>
      </c>
      <c r="AC93" s="219">
        <f t="shared" si="7"/>
        <v>0</v>
      </c>
      <c r="AD93" s="239"/>
      <c r="AE93" s="239"/>
      <c r="AF93" s="218"/>
      <c r="AG93" s="218">
        <v>0.32</v>
      </c>
      <c r="AH93" s="219">
        <f t="shared" si="8"/>
        <v>0</v>
      </c>
      <c r="AI93" s="219">
        <f t="shared" si="9"/>
        <v>0.32</v>
      </c>
      <c r="AJ93" s="239"/>
      <c r="AK93" s="239"/>
      <c r="AL93" s="239"/>
      <c r="AM93" s="239"/>
      <c r="AN93" s="239"/>
      <c r="AO93" s="569"/>
      <c r="AP93" s="569">
        <f>'приложение 1.1'!V90</f>
        <v>0.46299999999999997</v>
      </c>
      <c r="AQ93" s="225">
        <f>'приложение 1.1'!W90</f>
        <v>0.46299999999999997</v>
      </c>
    </row>
    <row r="94" spans="1:43" s="255" customFormat="1" ht="24">
      <c r="A94" s="248" t="s">
        <v>735</v>
      </c>
      <c r="B94" s="249" t="s">
        <v>736</v>
      </c>
      <c r="C94" s="250"/>
      <c r="D94" s="250"/>
      <c r="E94" s="251"/>
      <c r="F94" s="251"/>
      <c r="G94" s="252"/>
      <c r="H94" s="252"/>
      <c r="I94" s="253"/>
      <c r="J94" s="253"/>
      <c r="K94" s="251"/>
      <c r="L94" s="251"/>
      <c r="M94" s="251"/>
      <c r="N94" s="251"/>
      <c r="O94" s="250"/>
      <c r="P94" s="250"/>
      <c r="Q94" s="250"/>
      <c r="R94" s="250"/>
      <c r="S94" s="250"/>
      <c r="T94" s="251"/>
      <c r="U94" s="251"/>
      <c r="V94" s="251"/>
      <c r="W94" s="251"/>
      <c r="X94" s="252"/>
      <c r="Y94" s="252"/>
      <c r="Z94" s="252"/>
      <c r="AA94" s="252"/>
      <c r="AB94" s="251"/>
      <c r="AC94" s="251"/>
      <c r="AD94" s="251"/>
      <c r="AE94" s="251"/>
      <c r="AF94" s="250"/>
      <c r="AG94" s="250"/>
      <c r="AH94" s="252"/>
      <c r="AI94" s="252"/>
      <c r="AJ94" s="252"/>
      <c r="AK94" s="252"/>
      <c r="AL94" s="252"/>
      <c r="AM94" s="251"/>
      <c r="AN94" s="251"/>
      <c r="AO94" s="252"/>
      <c r="AP94" s="252"/>
      <c r="AQ94" s="254"/>
    </row>
    <row r="95" spans="1:43" s="255" customFormat="1" ht="15">
      <c r="A95" s="256"/>
      <c r="B95" s="257"/>
      <c r="C95" s="224"/>
      <c r="D95" s="224"/>
      <c r="E95" s="258"/>
      <c r="F95" s="258"/>
      <c r="G95" s="233"/>
      <c r="H95" s="233"/>
      <c r="I95" s="233"/>
      <c r="J95" s="233"/>
      <c r="K95" s="258"/>
      <c r="L95" s="258"/>
      <c r="M95" s="258"/>
      <c r="N95" s="258"/>
      <c r="O95" s="224"/>
      <c r="P95" s="224"/>
      <c r="Q95" s="224"/>
      <c r="R95" s="224"/>
      <c r="S95" s="224"/>
      <c r="T95" s="258"/>
      <c r="U95" s="258"/>
      <c r="V95" s="258"/>
      <c r="W95" s="258"/>
      <c r="X95" s="233"/>
      <c r="Y95" s="233"/>
      <c r="Z95" s="233"/>
      <c r="AA95" s="233"/>
      <c r="AB95" s="258"/>
      <c r="AC95" s="258"/>
      <c r="AD95" s="258"/>
      <c r="AE95" s="258"/>
      <c r="AF95" s="224"/>
      <c r="AG95" s="224"/>
      <c r="AH95" s="233"/>
      <c r="AI95" s="233"/>
      <c r="AJ95" s="233"/>
      <c r="AK95" s="233"/>
      <c r="AL95" s="233"/>
      <c r="AM95" s="258"/>
      <c r="AN95" s="258"/>
      <c r="AO95" s="233"/>
      <c r="AP95" s="233"/>
      <c r="AQ95" s="259"/>
    </row>
    <row r="96" spans="1:43" s="255" customFormat="1" ht="15">
      <c r="A96" s="248" t="s">
        <v>737</v>
      </c>
      <c r="B96" s="249" t="s">
        <v>738</v>
      </c>
      <c r="C96" s="250"/>
      <c r="D96" s="250"/>
      <c r="E96" s="251"/>
      <c r="F96" s="251"/>
      <c r="G96" s="252"/>
      <c r="H96" s="252"/>
      <c r="I96" s="252"/>
      <c r="J96" s="252"/>
      <c r="K96" s="251"/>
      <c r="L96" s="251"/>
      <c r="M96" s="251"/>
      <c r="N96" s="251"/>
      <c r="O96" s="250"/>
      <c r="P96" s="250"/>
      <c r="Q96" s="250"/>
      <c r="R96" s="250"/>
      <c r="S96" s="250"/>
      <c r="T96" s="251"/>
      <c r="U96" s="251"/>
      <c r="V96" s="251"/>
      <c r="W96" s="251"/>
      <c r="X96" s="252"/>
      <c r="Y96" s="252"/>
      <c r="Z96" s="252"/>
      <c r="AA96" s="252"/>
      <c r="AB96" s="251"/>
      <c r="AC96" s="251"/>
      <c r="AD96" s="251"/>
      <c r="AE96" s="251"/>
      <c r="AF96" s="250"/>
      <c r="AG96" s="250"/>
      <c r="AH96" s="252"/>
      <c r="AI96" s="252"/>
      <c r="AJ96" s="252"/>
      <c r="AK96" s="252"/>
      <c r="AL96" s="252"/>
      <c r="AM96" s="251"/>
      <c r="AN96" s="251"/>
      <c r="AO96" s="252"/>
      <c r="AP96" s="252"/>
      <c r="AQ96" s="254"/>
    </row>
    <row r="97" spans="1:43" s="255" customFormat="1" ht="15">
      <c r="A97" s="256"/>
      <c r="B97" s="257"/>
      <c r="C97" s="224"/>
      <c r="D97" s="224"/>
      <c r="E97" s="258"/>
      <c r="F97" s="258"/>
      <c r="G97" s="233"/>
      <c r="H97" s="233"/>
      <c r="I97" s="233"/>
      <c r="J97" s="233"/>
      <c r="K97" s="258"/>
      <c r="L97" s="258"/>
      <c r="M97" s="258"/>
      <c r="N97" s="258"/>
      <c r="O97" s="224"/>
      <c r="P97" s="224"/>
      <c r="Q97" s="224"/>
      <c r="R97" s="224"/>
      <c r="S97" s="224"/>
      <c r="T97" s="258"/>
      <c r="U97" s="258"/>
      <c r="V97" s="258"/>
      <c r="W97" s="258"/>
      <c r="X97" s="233"/>
      <c r="Y97" s="233"/>
      <c r="Z97" s="233"/>
      <c r="AA97" s="233"/>
      <c r="AB97" s="258"/>
      <c r="AC97" s="258"/>
      <c r="AD97" s="258"/>
      <c r="AE97" s="258"/>
      <c r="AF97" s="224"/>
      <c r="AG97" s="224"/>
      <c r="AH97" s="233"/>
      <c r="AI97" s="233"/>
      <c r="AJ97" s="233"/>
      <c r="AK97" s="233"/>
      <c r="AL97" s="233"/>
      <c r="AM97" s="258"/>
      <c r="AN97" s="258"/>
      <c r="AO97" s="233"/>
      <c r="AP97" s="233"/>
      <c r="AQ97" s="259"/>
    </row>
    <row r="98" spans="1:43" s="255" customFormat="1" ht="36">
      <c r="A98" s="248" t="s">
        <v>739</v>
      </c>
      <c r="B98" s="249" t="s">
        <v>740</v>
      </c>
      <c r="C98" s="250"/>
      <c r="D98" s="250"/>
      <c r="E98" s="251"/>
      <c r="F98" s="251"/>
      <c r="G98" s="252"/>
      <c r="H98" s="252"/>
      <c r="I98" s="252"/>
      <c r="J98" s="252"/>
      <c r="K98" s="251"/>
      <c r="L98" s="251"/>
      <c r="M98" s="251"/>
      <c r="N98" s="251"/>
      <c r="O98" s="250"/>
      <c r="P98" s="250"/>
      <c r="Q98" s="250"/>
      <c r="R98" s="250"/>
      <c r="S98" s="250"/>
      <c r="T98" s="251"/>
      <c r="U98" s="251"/>
      <c r="V98" s="251"/>
      <c r="W98" s="251"/>
      <c r="X98" s="252"/>
      <c r="Y98" s="252"/>
      <c r="Z98" s="252"/>
      <c r="AA98" s="252"/>
      <c r="AB98" s="251"/>
      <c r="AC98" s="251"/>
      <c r="AD98" s="251"/>
      <c r="AE98" s="251"/>
      <c r="AF98" s="250"/>
      <c r="AG98" s="250"/>
      <c r="AH98" s="252"/>
      <c r="AI98" s="252"/>
      <c r="AJ98" s="252"/>
      <c r="AK98" s="252"/>
      <c r="AL98" s="252"/>
      <c r="AM98" s="251"/>
      <c r="AN98" s="251"/>
      <c r="AO98" s="252"/>
      <c r="AP98" s="252"/>
      <c r="AQ98" s="254"/>
    </row>
    <row r="99" spans="1:43" s="255" customFormat="1" ht="15">
      <c r="A99" s="256"/>
      <c r="B99" s="257"/>
      <c r="C99" s="224"/>
      <c r="D99" s="224"/>
      <c r="E99" s="258"/>
      <c r="F99" s="258"/>
      <c r="G99" s="233"/>
      <c r="H99" s="233"/>
      <c r="I99" s="233"/>
      <c r="J99" s="233"/>
      <c r="K99" s="258"/>
      <c r="L99" s="258"/>
      <c r="M99" s="258"/>
      <c r="N99" s="258"/>
      <c r="O99" s="224"/>
      <c r="P99" s="224"/>
      <c r="Q99" s="224"/>
      <c r="R99" s="224"/>
      <c r="S99" s="224"/>
      <c r="T99" s="258"/>
      <c r="U99" s="258"/>
      <c r="V99" s="258"/>
      <c r="W99" s="258"/>
      <c r="X99" s="233"/>
      <c r="Y99" s="233"/>
      <c r="Z99" s="233"/>
      <c r="AA99" s="233"/>
      <c r="AB99" s="258"/>
      <c r="AC99" s="258"/>
      <c r="AD99" s="258"/>
      <c r="AE99" s="258"/>
      <c r="AF99" s="224"/>
      <c r="AG99" s="224"/>
      <c r="AH99" s="233"/>
      <c r="AI99" s="233"/>
      <c r="AJ99" s="233"/>
      <c r="AK99" s="233"/>
      <c r="AL99" s="233"/>
      <c r="AM99" s="258"/>
      <c r="AN99" s="258"/>
      <c r="AO99" s="233"/>
      <c r="AP99" s="233"/>
      <c r="AQ99" s="259"/>
    </row>
    <row r="100" spans="1:43" s="255" customFormat="1" ht="15">
      <c r="A100" s="260" t="s">
        <v>741</v>
      </c>
      <c r="B100" s="261" t="s">
        <v>742</v>
      </c>
      <c r="C100" s="224">
        <f>C101+C103</f>
        <v>0</v>
      </c>
      <c r="D100" s="224">
        <f>D101+D103</f>
        <v>0.37</v>
      </c>
      <c r="E100" s="224">
        <f>E101+E103</f>
        <v>0</v>
      </c>
      <c r="F100" s="224"/>
      <c r="G100" s="224">
        <f>G101+G103</f>
        <v>0</v>
      </c>
      <c r="H100" s="224"/>
      <c r="I100" s="224">
        <f>I101+I103</f>
        <v>0</v>
      </c>
      <c r="J100" s="224">
        <f>J101+J103</f>
        <v>0.37</v>
      </c>
      <c r="K100" s="224">
        <f>K101+K103</f>
        <v>0</v>
      </c>
      <c r="L100" s="224"/>
      <c r="M100" s="224">
        <f>M101+M103</f>
        <v>0</v>
      </c>
      <c r="N100" s="224"/>
      <c r="O100" s="224">
        <f>O101+O103</f>
        <v>0</v>
      </c>
      <c r="P100" s="224"/>
      <c r="Q100" s="224">
        <f>Q101+Q103</f>
        <v>0</v>
      </c>
      <c r="R100" s="224">
        <f>R101+R103</f>
        <v>0</v>
      </c>
      <c r="S100" s="224">
        <f>S101+S103</f>
        <v>1.423728813559322</v>
      </c>
      <c r="T100" s="224">
        <f>T101+T103</f>
        <v>0</v>
      </c>
      <c r="U100" s="224"/>
      <c r="V100" s="224">
        <f>V101+V103</f>
        <v>0</v>
      </c>
      <c r="W100" s="224">
        <f>W101+W103</f>
        <v>0.37</v>
      </c>
      <c r="X100" s="224">
        <f>X101+X103</f>
        <v>0</v>
      </c>
      <c r="Y100" s="224"/>
      <c r="Z100" s="224">
        <f>Z101+Z103</f>
        <v>0</v>
      </c>
      <c r="AA100" s="224"/>
      <c r="AB100" s="224">
        <f>AB101+AB103</f>
        <v>0</v>
      </c>
      <c r="AC100" s="224">
        <f>AC101+AC103</f>
        <v>0.37</v>
      </c>
      <c r="AD100" s="224">
        <f>AD101+AD103</f>
        <v>0</v>
      </c>
      <c r="AE100" s="224"/>
      <c r="AF100" s="224">
        <f>AF101+AF103</f>
        <v>0</v>
      </c>
      <c r="AG100" s="224"/>
      <c r="AH100" s="219">
        <f>AB100+AD100+AF100</f>
        <v>0</v>
      </c>
      <c r="AI100" s="219">
        <f>AC100+AE100+AG100</f>
        <v>0.37</v>
      </c>
      <c r="AJ100" s="224">
        <f aca="true" t="shared" si="21" ref="AJ100:AQ100">AJ101+AJ103</f>
        <v>0.2</v>
      </c>
      <c r="AK100" s="224">
        <f t="shared" si="21"/>
        <v>0</v>
      </c>
      <c r="AL100" s="224">
        <f t="shared" si="21"/>
        <v>1.48</v>
      </c>
      <c r="AM100" s="224">
        <f t="shared" si="21"/>
        <v>0</v>
      </c>
      <c r="AN100" s="224">
        <f t="shared" si="21"/>
        <v>1.68</v>
      </c>
      <c r="AO100" s="224">
        <f t="shared" si="21"/>
        <v>0</v>
      </c>
      <c r="AP100" s="224">
        <f t="shared" si="21"/>
        <v>0</v>
      </c>
      <c r="AQ100" s="262">
        <f t="shared" si="21"/>
        <v>1.68</v>
      </c>
    </row>
    <row r="101" spans="1:43" s="255" customFormat="1" ht="24">
      <c r="A101" s="263" t="s">
        <v>743</v>
      </c>
      <c r="B101" s="264" t="s">
        <v>595</v>
      </c>
      <c r="C101" s="250">
        <f>SUM(C102)</f>
        <v>0</v>
      </c>
      <c r="D101" s="250">
        <f>SUM(D102)</f>
        <v>0.37</v>
      </c>
      <c r="E101" s="250">
        <f>SUM(E102)</f>
        <v>0</v>
      </c>
      <c r="F101" s="250"/>
      <c r="G101" s="250">
        <f>SUM(G102)</f>
        <v>0</v>
      </c>
      <c r="H101" s="250"/>
      <c r="I101" s="250">
        <f>SUM(I102)</f>
        <v>0</v>
      </c>
      <c r="J101" s="250">
        <f>SUM(J102)</f>
        <v>0.37</v>
      </c>
      <c r="K101" s="250">
        <f>SUM(K102)</f>
        <v>0</v>
      </c>
      <c r="L101" s="250"/>
      <c r="M101" s="250">
        <f>SUM(M102)</f>
        <v>0</v>
      </c>
      <c r="N101" s="250"/>
      <c r="O101" s="250">
        <f>SUM(O102)</f>
        <v>0</v>
      </c>
      <c r="P101" s="250"/>
      <c r="Q101" s="250">
        <f>SUM(Q102)</f>
        <v>0</v>
      </c>
      <c r="R101" s="250">
        <f>SUM(R102)</f>
        <v>0</v>
      </c>
      <c r="S101" s="250">
        <f>SUM(S102)</f>
        <v>1.423728813559322</v>
      </c>
      <c r="T101" s="250">
        <f>SUM(T102)</f>
        <v>0</v>
      </c>
      <c r="U101" s="250"/>
      <c r="V101" s="250">
        <f>SUM(V102)</f>
        <v>0</v>
      </c>
      <c r="W101" s="250">
        <f>SUM(W102)</f>
        <v>0.37</v>
      </c>
      <c r="X101" s="250">
        <f>SUM(X102)</f>
        <v>0</v>
      </c>
      <c r="Y101" s="250"/>
      <c r="Z101" s="250">
        <f>SUM(Z102)</f>
        <v>0</v>
      </c>
      <c r="AA101" s="250"/>
      <c r="AB101" s="250">
        <f>SUM(AB102)</f>
        <v>0</v>
      </c>
      <c r="AC101" s="250">
        <f>SUM(AC102)</f>
        <v>0.37</v>
      </c>
      <c r="AD101" s="250">
        <f>SUM(AD102)</f>
        <v>0</v>
      </c>
      <c r="AE101" s="250"/>
      <c r="AF101" s="250">
        <f>SUM(AF102)</f>
        <v>0</v>
      </c>
      <c r="AG101" s="250"/>
      <c r="AH101" s="250">
        <f aca="true" t="shared" si="22" ref="AH101:AQ101">SUM(AH102)</f>
        <v>0</v>
      </c>
      <c r="AI101" s="250">
        <f t="shared" si="22"/>
        <v>0.37</v>
      </c>
      <c r="AJ101" s="250">
        <f t="shared" si="22"/>
        <v>0.2</v>
      </c>
      <c r="AK101" s="250">
        <f t="shared" si="22"/>
        <v>0</v>
      </c>
      <c r="AL101" s="250">
        <f t="shared" si="22"/>
        <v>1.48</v>
      </c>
      <c r="AM101" s="250">
        <f t="shared" si="22"/>
        <v>0</v>
      </c>
      <c r="AN101" s="250">
        <f t="shared" si="22"/>
        <v>1.68</v>
      </c>
      <c r="AO101" s="250">
        <f t="shared" si="22"/>
        <v>0</v>
      </c>
      <c r="AP101" s="250">
        <f t="shared" si="22"/>
        <v>0</v>
      </c>
      <c r="AQ101" s="265">
        <f t="shared" si="22"/>
        <v>1.68</v>
      </c>
    </row>
    <row r="102" spans="1:43" s="255" customFormat="1" ht="15">
      <c r="A102" s="266"/>
      <c r="B102" s="267" t="s">
        <v>918</v>
      </c>
      <c r="C102" s="224"/>
      <c r="D102" s="224">
        <v>0.37</v>
      </c>
      <c r="E102" s="233"/>
      <c r="F102" s="233"/>
      <c r="G102" s="233"/>
      <c r="H102" s="233"/>
      <c r="I102" s="224">
        <f>C102+E102+G102</f>
        <v>0</v>
      </c>
      <c r="J102" s="224">
        <f>D102+F102+H102</f>
        <v>0.37</v>
      </c>
      <c r="K102" s="233"/>
      <c r="L102" s="233">
        <v>0</v>
      </c>
      <c r="M102" s="233"/>
      <c r="N102" s="233"/>
      <c r="O102" s="268"/>
      <c r="P102" s="268"/>
      <c r="Q102" s="268">
        <f>E102+I102+M102</f>
        <v>0</v>
      </c>
      <c r="R102" s="268">
        <v>0</v>
      </c>
      <c r="S102" s="222">
        <f>'приложение 1.1'!I99/1.18</f>
        <v>1.423728813559322</v>
      </c>
      <c r="T102" s="233"/>
      <c r="U102" s="233"/>
      <c r="V102" s="233"/>
      <c r="W102" s="233">
        <v>0.37</v>
      </c>
      <c r="X102" s="233"/>
      <c r="Y102" s="233"/>
      <c r="Z102" s="233"/>
      <c r="AA102" s="233"/>
      <c r="AB102" s="224">
        <v>0</v>
      </c>
      <c r="AC102" s="224">
        <f>U102+W102+Y102+AA102</f>
        <v>0.37</v>
      </c>
      <c r="AD102" s="233"/>
      <c r="AE102" s="233"/>
      <c r="AF102" s="233"/>
      <c r="AG102" s="233"/>
      <c r="AH102" s="219">
        <f>AB102+AD102+AF102</f>
        <v>0</v>
      </c>
      <c r="AI102" s="219">
        <f>AC102+AE102+AG102</f>
        <v>0.37</v>
      </c>
      <c r="AJ102" s="233">
        <v>0.2</v>
      </c>
      <c r="AK102" s="233"/>
      <c r="AL102" s="233">
        <v>1.48</v>
      </c>
      <c r="AM102" s="233"/>
      <c r="AN102" s="233">
        <f>AJ102+AK102+AL102+AM102</f>
        <v>1.68</v>
      </c>
      <c r="AO102" s="233"/>
      <c r="AP102" s="233"/>
      <c r="AQ102" s="259">
        <f>AP102+AO102+AN102</f>
        <v>1.68</v>
      </c>
    </row>
    <row r="103" spans="1:43" s="255" customFormat="1" ht="15">
      <c r="A103" s="263" t="s">
        <v>746</v>
      </c>
      <c r="B103" s="264" t="s">
        <v>747</v>
      </c>
      <c r="C103" s="250">
        <f>C104+C106+C108+C110</f>
        <v>0</v>
      </c>
      <c r="D103" s="250"/>
      <c r="E103" s="250">
        <f>E104+E106+E108+E110</f>
        <v>0</v>
      </c>
      <c r="F103" s="250"/>
      <c r="G103" s="250">
        <f>G104+G106+G108+G110</f>
        <v>0</v>
      </c>
      <c r="H103" s="250"/>
      <c r="I103" s="250">
        <f>I104+I106+I108+I110</f>
        <v>0</v>
      </c>
      <c r="J103" s="250"/>
      <c r="K103" s="250">
        <f>K104+K106+K108+K110</f>
        <v>0</v>
      </c>
      <c r="L103" s="250"/>
      <c r="M103" s="250">
        <f>M104+M106+M108+M110</f>
        <v>0</v>
      </c>
      <c r="N103" s="250"/>
      <c r="O103" s="250">
        <f>O104+O106+O108+O110</f>
        <v>0</v>
      </c>
      <c r="P103" s="250"/>
      <c r="Q103" s="250">
        <f>Q104+Q106+Q108+Q110</f>
        <v>0</v>
      </c>
      <c r="R103" s="250"/>
      <c r="S103" s="250">
        <f>S104+S106+S108+S110</f>
        <v>0</v>
      </c>
      <c r="T103" s="250">
        <f>T104+T106+T108+T110</f>
        <v>0</v>
      </c>
      <c r="U103" s="250"/>
      <c r="V103" s="250">
        <f>V104+V106+V108+V110</f>
        <v>0</v>
      </c>
      <c r="W103" s="250"/>
      <c r="X103" s="250">
        <f>X104+X106+X108+X110</f>
        <v>0</v>
      </c>
      <c r="Y103" s="250"/>
      <c r="Z103" s="250">
        <f>Z104+Z106+Z108+Z110</f>
        <v>0</v>
      </c>
      <c r="AA103" s="250"/>
      <c r="AB103" s="250">
        <f>AB104+AB106+AB108+AB110</f>
        <v>0</v>
      </c>
      <c r="AC103" s="250"/>
      <c r="AD103" s="250">
        <f>AD104+AD106+AD108+AD110</f>
        <v>0</v>
      </c>
      <c r="AE103" s="250"/>
      <c r="AF103" s="250">
        <f>AF104+AF106+AF108+AF110</f>
        <v>0</v>
      </c>
      <c r="AG103" s="250"/>
      <c r="AH103" s="250">
        <f>AH104+AH106+AH108+AH110</f>
        <v>0</v>
      </c>
      <c r="AI103" s="250"/>
      <c r="AJ103" s="250">
        <f aca="true" t="shared" si="23" ref="AJ103:AQ103">AJ104+AJ106+AJ108+AJ110</f>
        <v>0</v>
      </c>
      <c r="AK103" s="250">
        <f t="shared" si="23"/>
        <v>0</v>
      </c>
      <c r="AL103" s="250">
        <f t="shared" si="23"/>
        <v>0</v>
      </c>
      <c r="AM103" s="250">
        <f t="shared" si="23"/>
        <v>0</v>
      </c>
      <c r="AN103" s="250">
        <f t="shared" si="23"/>
        <v>0</v>
      </c>
      <c r="AO103" s="250">
        <f t="shared" si="23"/>
        <v>0</v>
      </c>
      <c r="AP103" s="250">
        <f t="shared" si="23"/>
        <v>0</v>
      </c>
      <c r="AQ103" s="265">
        <f t="shared" si="23"/>
        <v>0</v>
      </c>
    </row>
    <row r="104" spans="1:43" s="255" customFormat="1" ht="15">
      <c r="A104" s="263" t="s">
        <v>748</v>
      </c>
      <c r="B104" s="264" t="s">
        <v>749</v>
      </c>
      <c r="C104" s="250">
        <f>SUM(C105:C105)</f>
        <v>0</v>
      </c>
      <c r="D104" s="250"/>
      <c r="E104" s="250">
        <f>SUM(E105:E105)</f>
        <v>0</v>
      </c>
      <c r="F104" s="250"/>
      <c r="G104" s="250">
        <f>SUM(G105:G105)</f>
        <v>0</v>
      </c>
      <c r="H104" s="250"/>
      <c r="I104" s="250">
        <f>SUM(I105:I105)</f>
        <v>0</v>
      </c>
      <c r="J104" s="250"/>
      <c r="K104" s="250">
        <f>SUM(K105:K105)</f>
        <v>0</v>
      </c>
      <c r="L104" s="250"/>
      <c r="M104" s="250">
        <f>SUM(M105:M105)</f>
        <v>0</v>
      </c>
      <c r="N104" s="250"/>
      <c r="O104" s="250">
        <f>SUM(O105:O105)</f>
        <v>0</v>
      </c>
      <c r="P104" s="250"/>
      <c r="Q104" s="250">
        <f>SUM(Q105:Q105)</f>
        <v>0</v>
      </c>
      <c r="R104" s="250"/>
      <c r="S104" s="250">
        <f>SUM(S105:S105)</f>
        <v>0</v>
      </c>
      <c r="T104" s="250">
        <f>SUM(T105:T105)</f>
        <v>0</v>
      </c>
      <c r="U104" s="250"/>
      <c r="V104" s="250">
        <f>SUM(V105:V105)</f>
        <v>0</v>
      </c>
      <c r="W104" s="250"/>
      <c r="X104" s="250">
        <f>SUM(X105:X105)</f>
        <v>0</v>
      </c>
      <c r="Y104" s="250"/>
      <c r="Z104" s="250">
        <f>SUM(Z105:Z105)</f>
        <v>0</v>
      </c>
      <c r="AA104" s="250"/>
      <c r="AB104" s="250">
        <f>SUM(AB105:AB105)</f>
        <v>0</v>
      </c>
      <c r="AC104" s="250"/>
      <c r="AD104" s="250">
        <f>SUM(AD105:AD105)</f>
        <v>0</v>
      </c>
      <c r="AE104" s="250"/>
      <c r="AF104" s="250">
        <f>SUM(AF105:AF105)</f>
        <v>0</v>
      </c>
      <c r="AG104" s="250"/>
      <c r="AH104" s="250">
        <f>SUM(AH105:AH105)</f>
        <v>0</v>
      </c>
      <c r="AI104" s="250"/>
      <c r="AJ104" s="250">
        <f aca="true" t="shared" si="24" ref="AJ104:AQ104">SUM(AJ105:AJ105)</f>
        <v>0</v>
      </c>
      <c r="AK104" s="250">
        <f t="shared" si="24"/>
        <v>0</v>
      </c>
      <c r="AL104" s="250">
        <f t="shared" si="24"/>
        <v>0</v>
      </c>
      <c r="AM104" s="250">
        <f t="shared" si="24"/>
        <v>0</v>
      </c>
      <c r="AN104" s="250">
        <f t="shared" si="24"/>
        <v>0</v>
      </c>
      <c r="AO104" s="250">
        <f t="shared" si="24"/>
        <v>0</v>
      </c>
      <c r="AP104" s="250">
        <f t="shared" si="24"/>
        <v>0</v>
      </c>
      <c r="AQ104" s="265">
        <f t="shared" si="24"/>
        <v>0</v>
      </c>
    </row>
    <row r="105" spans="1:43" s="255" customFormat="1" ht="15">
      <c r="A105" s="266"/>
      <c r="B105" s="267"/>
      <c r="C105" s="224"/>
      <c r="D105" s="224"/>
      <c r="E105" s="222"/>
      <c r="F105" s="222"/>
      <c r="G105" s="233"/>
      <c r="H105" s="233"/>
      <c r="I105" s="233"/>
      <c r="J105" s="233"/>
      <c r="K105" s="233"/>
      <c r="L105" s="233"/>
      <c r="M105" s="258"/>
      <c r="N105" s="258"/>
      <c r="O105" s="258"/>
      <c r="P105" s="258"/>
      <c r="Q105" s="224"/>
      <c r="R105" s="224"/>
      <c r="S105" s="224"/>
      <c r="T105" s="258"/>
      <c r="U105" s="258"/>
      <c r="V105" s="258"/>
      <c r="W105" s="258"/>
      <c r="X105" s="233"/>
      <c r="Y105" s="233"/>
      <c r="Z105" s="233"/>
      <c r="AA105" s="233"/>
      <c r="AB105" s="258"/>
      <c r="AC105" s="258"/>
      <c r="AD105" s="258"/>
      <c r="AE105" s="258"/>
      <c r="AF105" s="224"/>
      <c r="AG105" s="224"/>
      <c r="AH105" s="268"/>
      <c r="AI105" s="268"/>
      <c r="AJ105" s="233"/>
      <c r="AK105" s="222"/>
      <c r="AL105" s="233"/>
      <c r="AM105" s="222"/>
      <c r="AN105" s="258"/>
      <c r="AO105" s="233"/>
      <c r="AP105" s="233"/>
      <c r="AQ105" s="259"/>
    </row>
    <row r="106" spans="1:43" s="255" customFormat="1" ht="31.5" customHeight="1">
      <c r="A106" s="269" t="s">
        <v>750</v>
      </c>
      <c r="B106" s="270" t="s">
        <v>751</v>
      </c>
      <c r="C106" s="252">
        <f>SUM(C107:C107)</f>
        <v>0</v>
      </c>
      <c r="D106" s="252"/>
      <c r="E106" s="252">
        <f>SUM(E107:E107)</f>
        <v>0</v>
      </c>
      <c r="F106" s="252"/>
      <c r="G106" s="252">
        <f>SUM(G107:G107)</f>
        <v>0</v>
      </c>
      <c r="H106" s="252"/>
      <c r="I106" s="252">
        <f>SUM(I107:I107)</f>
        <v>0</v>
      </c>
      <c r="J106" s="252"/>
      <c r="K106" s="252">
        <f>SUM(K107:K107)</f>
        <v>0</v>
      </c>
      <c r="L106" s="252"/>
      <c r="M106" s="252">
        <f>SUM(M107:M107)</f>
        <v>0</v>
      </c>
      <c r="N106" s="252"/>
      <c r="O106" s="252">
        <f>SUM(O107:O107)</f>
        <v>0</v>
      </c>
      <c r="P106" s="252"/>
      <c r="Q106" s="252">
        <f>SUM(Q107:Q107)</f>
        <v>0</v>
      </c>
      <c r="R106" s="252"/>
      <c r="S106" s="252">
        <f>SUM(S107:S107)</f>
        <v>0</v>
      </c>
      <c r="T106" s="252">
        <f>SUM(T107:T107)</f>
        <v>0</v>
      </c>
      <c r="U106" s="252"/>
      <c r="V106" s="252">
        <f>SUM(V107:V107)</f>
        <v>0</v>
      </c>
      <c r="W106" s="252"/>
      <c r="X106" s="252">
        <f>SUM(X107:X107)</f>
        <v>0</v>
      </c>
      <c r="Y106" s="252"/>
      <c r="Z106" s="252">
        <f>SUM(Z107:Z107)</f>
        <v>0</v>
      </c>
      <c r="AA106" s="252"/>
      <c r="AB106" s="252">
        <f>SUM(AB107:AB107)</f>
        <v>0</v>
      </c>
      <c r="AC106" s="252"/>
      <c r="AD106" s="252">
        <f>SUM(AD107:AD107)</f>
        <v>0</v>
      </c>
      <c r="AE106" s="252"/>
      <c r="AF106" s="252">
        <f>SUM(AF107:AF107)</f>
        <v>0</v>
      </c>
      <c r="AG106" s="252"/>
      <c r="AH106" s="252">
        <f>SUM(AH107:AH107)</f>
        <v>0</v>
      </c>
      <c r="AI106" s="252"/>
      <c r="AJ106" s="252">
        <f aca="true" t="shared" si="25" ref="AJ106:AQ106">SUM(AJ107:AJ107)</f>
        <v>0</v>
      </c>
      <c r="AK106" s="252">
        <f t="shared" si="25"/>
        <v>0</v>
      </c>
      <c r="AL106" s="252">
        <f t="shared" si="25"/>
        <v>0</v>
      </c>
      <c r="AM106" s="252">
        <f t="shared" si="25"/>
        <v>0</v>
      </c>
      <c r="AN106" s="252">
        <f t="shared" si="25"/>
        <v>0</v>
      </c>
      <c r="AO106" s="252">
        <f t="shared" si="25"/>
        <v>0</v>
      </c>
      <c r="AP106" s="252">
        <f t="shared" si="25"/>
        <v>0</v>
      </c>
      <c r="AQ106" s="254">
        <f t="shared" si="25"/>
        <v>0</v>
      </c>
    </row>
    <row r="107" spans="1:43" s="255" customFormat="1" ht="15">
      <c r="A107" s="271"/>
      <c r="B107" s="272"/>
      <c r="C107" s="233"/>
      <c r="D107" s="233"/>
      <c r="E107" s="233"/>
      <c r="F107" s="233"/>
      <c r="G107" s="258"/>
      <c r="H107" s="258"/>
      <c r="I107" s="258"/>
      <c r="J107" s="258"/>
      <c r="K107" s="258"/>
      <c r="L107" s="258"/>
      <c r="M107" s="233"/>
      <c r="N107" s="233"/>
      <c r="O107" s="233"/>
      <c r="P107" s="233"/>
      <c r="Q107" s="224"/>
      <c r="R107" s="224"/>
      <c r="S107" s="224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68"/>
      <c r="AI107" s="268"/>
      <c r="AJ107" s="233"/>
      <c r="AK107" s="233"/>
      <c r="AL107" s="233"/>
      <c r="AM107" s="233"/>
      <c r="AN107" s="233"/>
      <c r="AO107" s="233"/>
      <c r="AP107" s="233"/>
      <c r="AQ107" s="259"/>
    </row>
    <row r="108" spans="1:43" s="255" customFormat="1" ht="15">
      <c r="A108" s="269" t="s">
        <v>752</v>
      </c>
      <c r="B108" s="270" t="s">
        <v>753</v>
      </c>
      <c r="C108" s="252">
        <f>SUM(C109)</f>
        <v>0</v>
      </c>
      <c r="D108" s="252"/>
      <c r="E108" s="252">
        <f>SUM(E109)</f>
        <v>0</v>
      </c>
      <c r="F108" s="252"/>
      <c r="G108" s="252">
        <f>SUM(G109)</f>
        <v>0</v>
      </c>
      <c r="H108" s="252"/>
      <c r="I108" s="252">
        <f>SUM(I109)</f>
        <v>0</v>
      </c>
      <c r="J108" s="252"/>
      <c r="K108" s="252">
        <f>SUM(K109)</f>
        <v>0</v>
      </c>
      <c r="L108" s="252"/>
      <c r="M108" s="252">
        <f>SUM(M109)</f>
        <v>0</v>
      </c>
      <c r="N108" s="252"/>
      <c r="O108" s="252">
        <f>SUM(O109)</f>
        <v>0</v>
      </c>
      <c r="P108" s="252"/>
      <c r="Q108" s="252">
        <f>SUM(Q109)</f>
        <v>0</v>
      </c>
      <c r="R108" s="252"/>
      <c r="S108" s="252">
        <f>SUM(S109)</f>
        <v>0</v>
      </c>
      <c r="T108" s="252">
        <f>SUM(T109)</f>
        <v>0</v>
      </c>
      <c r="U108" s="252"/>
      <c r="V108" s="252">
        <f>SUM(V109)</f>
        <v>0</v>
      </c>
      <c r="W108" s="252"/>
      <c r="X108" s="252">
        <f>SUM(X109)</f>
        <v>0</v>
      </c>
      <c r="Y108" s="252"/>
      <c r="Z108" s="252">
        <f>SUM(Z109)</f>
        <v>0</v>
      </c>
      <c r="AA108" s="252"/>
      <c r="AB108" s="252">
        <f>SUM(AB109)</f>
        <v>0</v>
      </c>
      <c r="AC108" s="252"/>
      <c r="AD108" s="252">
        <f>SUM(AD109)</f>
        <v>0</v>
      </c>
      <c r="AE108" s="252"/>
      <c r="AF108" s="252">
        <f>SUM(AF109)</f>
        <v>0</v>
      </c>
      <c r="AG108" s="252"/>
      <c r="AH108" s="252">
        <f>SUM(AH109)</f>
        <v>0</v>
      </c>
      <c r="AI108" s="252"/>
      <c r="AJ108" s="252">
        <f aca="true" t="shared" si="26" ref="AJ108:AQ108">SUM(AJ109)</f>
        <v>0</v>
      </c>
      <c r="AK108" s="252">
        <f t="shared" si="26"/>
        <v>0</v>
      </c>
      <c r="AL108" s="252">
        <f t="shared" si="26"/>
        <v>0</v>
      </c>
      <c r="AM108" s="252">
        <f t="shared" si="26"/>
        <v>0</v>
      </c>
      <c r="AN108" s="252">
        <f t="shared" si="26"/>
        <v>0</v>
      </c>
      <c r="AO108" s="252">
        <f t="shared" si="26"/>
        <v>0</v>
      </c>
      <c r="AP108" s="252">
        <f t="shared" si="26"/>
        <v>0</v>
      </c>
      <c r="AQ108" s="254">
        <f t="shared" si="26"/>
        <v>0</v>
      </c>
    </row>
    <row r="109" spans="1:43" s="255" customFormat="1" ht="15">
      <c r="A109" s="273"/>
      <c r="B109" s="274"/>
      <c r="C109" s="275"/>
      <c r="D109" s="275"/>
      <c r="E109" s="275"/>
      <c r="F109" s="275"/>
      <c r="G109" s="276"/>
      <c r="H109" s="276"/>
      <c r="I109" s="276"/>
      <c r="J109" s="276"/>
      <c r="K109" s="276"/>
      <c r="L109" s="276"/>
      <c r="M109" s="275"/>
      <c r="N109" s="275"/>
      <c r="O109" s="275"/>
      <c r="P109" s="275"/>
      <c r="Q109" s="277"/>
      <c r="R109" s="277"/>
      <c r="S109" s="277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8"/>
      <c r="AI109" s="278"/>
      <c r="AJ109" s="275"/>
      <c r="AK109" s="275"/>
      <c r="AL109" s="275"/>
      <c r="AM109" s="275"/>
      <c r="AN109" s="275"/>
      <c r="AO109" s="275"/>
      <c r="AP109" s="275"/>
      <c r="AQ109" s="279"/>
    </row>
    <row r="110" spans="1:43" s="255" customFormat="1" ht="15">
      <c r="A110" s="269" t="s">
        <v>919</v>
      </c>
      <c r="B110" s="270" t="s">
        <v>920</v>
      </c>
      <c r="C110" s="252">
        <v>0</v>
      </c>
      <c r="D110" s="252"/>
      <c r="E110" s="252">
        <v>0</v>
      </c>
      <c r="F110" s="252"/>
      <c r="G110" s="252">
        <v>0</v>
      </c>
      <c r="H110" s="252"/>
      <c r="I110" s="252">
        <v>0</v>
      </c>
      <c r="J110" s="252"/>
      <c r="K110" s="252">
        <v>0</v>
      </c>
      <c r="L110" s="252"/>
      <c r="M110" s="252">
        <v>0</v>
      </c>
      <c r="N110" s="252"/>
      <c r="O110" s="252">
        <v>0</v>
      </c>
      <c r="P110" s="252"/>
      <c r="Q110" s="252">
        <v>0</v>
      </c>
      <c r="R110" s="252"/>
      <c r="S110" s="252">
        <v>0</v>
      </c>
      <c r="T110" s="252">
        <v>0</v>
      </c>
      <c r="U110" s="252"/>
      <c r="V110" s="252">
        <v>0</v>
      </c>
      <c r="W110" s="252"/>
      <c r="X110" s="252">
        <v>0</v>
      </c>
      <c r="Y110" s="252"/>
      <c r="Z110" s="252">
        <v>0</v>
      </c>
      <c r="AA110" s="252"/>
      <c r="AB110" s="252">
        <v>0</v>
      </c>
      <c r="AC110" s="252"/>
      <c r="AD110" s="252">
        <v>0</v>
      </c>
      <c r="AE110" s="252"/>
      <c r="AF110" s="252">
        <v>0</v>
      </c>
      <c r="AG110" s="252"/>
      <c r="AH110" s="250">
        <f>SUM(AH111)</f>
        <v>0</v>
      </c>
      <c r="AI110" s="250">
        <f>SUM(AI111)</f>
        <v>0</v>
      </c>
      <c r="AJ110" s="252">
        <v>0</v>
      </c>
      <c r="AK110" s="252">
        <v>0</v>
      </c>
      <c r="AL110" s="252">
        <v>0</v>
      </c>
      <c r="AM110" s="252">
        <v>0</v>
      </c>
      <c r="AN110" s="252">
        <v>0</v>
      </c>
      <c r="AO110" s="252">
        <v>0</v>
      </c>
      <c r="AP110" s="252">
        <v>0</v>
      </c>
      <c r="AQ110" s="254">
        <v>0</v>
      </c>
    </row>
    <row r="111" spans="1:43" s="255" customFormat="1" ht="15">
      <c r="A111" s="280" t="s">
        <v>754</v>
      </c>
      <c r="B111" s="281" t="s">
        <v>755</v>
      </c>
      <c r="C111" s="282">
        <v>0</v>
      </c>
      <c r="D111" s="282"/>
      <c r="E111" s="282">
        <v>0</v>
      </c>
      <c r="F111" s="282"/>
      <c r="G111" s="282">
        <v>0</v>
      </c>
      <c r="H111" s="282"/>
      <c r="I111" s="282">
        <v>0</v>
      </c>
      <c r="J111" s="282"/>
      <c r="K111" s="282">
        <v>0</v>
      </c>
      <c r="L111" s="282"/>
      <c r="M111" s="282">
        <v>0</v>
      </c>
      <c r="N111" s="282"/>
      <c r="O111" s="282">
        <v>0</v>
      </c>
      <c r="P111" s="282"/>
      <c r="Q111" s="282">
        <v>0</v>
      </c>
      <c r="R111" s="282"/>
      <c r="S111" s="282">
        <f>'приложение 1.1'!I107/1.18</f>
        <v>17.161016949152543</v>
      </c>
      <c r="T111" s="282">
        <v>0</v>
      </c>
      <c r="U111" s="282"/>
      <c r="V111" s="282">
        <v>0</v>
      </c>
      <c r="W111" s="282"/>
      <c r="X111" s="282">
        <v>0</v>
      </c>
      <c r="Y111" s="282"/>
      <c r="Z111" s="282">
        <v>0</v>
      </c>
      <c r="AA111" s="282"/>
      <c r="AB111" s="282">
        <v>0</v>
      </c>
      <c r="AC111" s="282"/>
      <c r="AD111" s="282">
        <v>0</v>
      </c>
      <c r="AE111" s="282"/>
      <c r="AF111" s="282">
        <v>0</v>
      </c>
      <c r="AG111" s="282"/>
      <c r="AH111" s="219">
        <f>AB111+AD111+AF111</f>
        <v>0</v>
      </c>
      <c r="AI111" s="219">
        <f>AC111+AE111+AG111</f>
        <v>0</v>
      </c>
      <c r="AJ111" s="282">
        <f>0.67</f>
        <v>0.67</v>
      </c>
      <c r="AK111" s="282">
        <v>0.615</v>
      </c>
      <c r="AL111" s="282">
        <v>0.615</v>
      </c>
      <c r="AM111" s="282">
        <f>0.55+0.78+3.02</f>
        <v>4.35</v>
      </c>
      <c r="AN111" s="282">
        <f>AJ111+AK111+AL111+AM111</f>
        <v>6.25</v>
      </c>
      <c r="AO111" s="282">
        <v>7.05</v>
      </c>
      <c r="AP111" s="282">
        <v>6.95</v>
      </c>
      <c r="AQ111" s="283">
        <f>AP111+AO111+AN111</f>
        <v>20.25</v>
      </c>
    </row>
  </sheetData>
  <sheetProtection selectLockedCells="1" selectUnlockedCells="1"/>
  <mergeCells count="37">
    <mergeCell ref="A5:AQ5"/>
    <mergeCell ref="A6:AQ6"/>
    <mergeCell ref="AL8:AQ8"/>
    <mergeCell ref="AL9:AQ9"/>
    <mergeCell ref="A15:A19"/>
    <mergeCell ref="B15:B19"/>
    <mergeCell ref="C15:J16"/>
    <mergeCell ref="K15:R16"/>
    <mergeCell ref="K17:L18"/>
    <mergeCell ref="M17:N18"/>
    <mergeCell ref="O17:P18"/>
    <mergeCell ref="AJ16:AN16"/>
    <mergeCell ref="AL10:AQ10"/>
    <mergeCell ref="AL11:AQ11"/>
    <mergeCell ref="AL12:AQ12"/>
    <mergeCell ref="T15:AQ15"/>
    <mergeCell ref="T16:AC16"/>
    <mergeCell ref="AD16:AE17"/>
    <mergeCell ref="T17:U17"/>
    <mergeCell ref="V17:W17"/>
    <mergeCell ref="X17:Y17"/>
    <mergeCell ref="S15:S17"/>
    <mergeCell ref="C17:D18"/>
    <mergeCell ref="E17:F18"/>
    <mergeCell ref="G17:H18"/>
    <mergeCell ref="I17:J18"/>
    <mergeCell ref="Q17:R18"/>
    <mergeCell ref="AJ18:AQ19"/>
    <mergeCell ref="Z17:AA17"/>
    <mergeCell ref="AB17:AC17"/>
    <mergeCell ref="S18:S19"/>
    <mergeCell ref="T18:AI18"/>
    <mergeCell ref="AO16:AO17"/>
    <mergeCell ref="AP16:AP17"/>
    <mergeCell ref="AQ16:AQ17"/>
    <mergeCell ref="AF16:AG17"/>
    <mergeCell ref="AH16:AI17"/>
  </mergeCells>
  <printOptions/>
  <pageMargins left="0.19652777777777777" right="0.07013888888888889" top="0.39375" bottom="0.39375" header="0.5118055555555555" footer="0.5118055555555555"/>
  <pageSetup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62"/>
  <sheetViews>
    <sheetView workbookViewId="0" topLeftCell="A1">
      <selection activeCell="A1" sqref="A1"/>
    </sheetView>
  </sheetViews>
  <sheetFormatPr defaultColWidth="9.00390625" defaultRowHeight="15.75"/>
  <cols>
    <col min="1" max="1" width="2.75390625" style="0" customWidth="1"/>
    <col min="2" max="2" width="32.00390625" style="0" customWidth="1"/>
    <col min="3" max="3" width="10.625" style="0" customWidth="1"/>
    <col min="4" max="4" width="10.875" style="0" customWidth="1"/>
    <col min="5" max="5" width="10.75390625" style="0" customWidth="1"/>
    <col min="6" max="6" width="15.25390625" style="0" customWidth="1"/>
    <col min="7" max="7" width="6.00390625" style="0" customWidth="1"/>
  </cols>
  <sheetData>
    <row r="1" spans="1:8" ht="15.75">
      <c r="A1" s="1"/>
      <c r="B1" s="2"/>
      <c r="C1" s="2"/>
      <c r="D1" s="2"/>
      <c r="E1" s="2"/>
      <c r="F1" s="2"/>
      <c r="G1" s="2"/>
      <c r="H1" s="401" t="s">
        <v>341</v>
      </c>
    </row>
    <row r="2" spans="1:8" ht="15.75">
      <c r="A2" s="1"/>
      <c r="B2" s="2"/>
      <c r="C2" s="2"/>
      <c r="D2" s="2"/>
      <c r="E2" s="2"/>
      <c r="F2" s="2"/>
      <c r="G2" s="2"/>
      <c r="H2" s="6" t="s">
        <v>558</v>
      </c>
    </row>
    <row r="3" spans="1:8" ht="15.75">
      <c r="A3" s="1"/>
      <c r="B3" s="2"/>
      <c r="C3" s="2"/>
      <c r="D3" s="2"/>
      <c r="E3" s="2"/>
      <c r="F3" s="2"/>
      <c r="G3" s="2"/>
      <c r="H3" s="6" t="s">
        <v>559</v>
      </c>
    </row>
    <row r="4" spans="1:8" ht="75.75" customHeight="1">
      <c r="A4" s="585" t="s">
        <v>371</v>
      </c>
      <c r="B4" s="585"/>
      <c r="C4" s="585"/>
      <c r="D4" s="585"/>
      <c r="E4" s="585"/>
      <c r="F4" s="585"/>
      <c r="G4" s="585"/>
      <c r="H4" s="585"/>
    </row>
    <row r="5" spans="1:8" ht="18.75">
      <c r="A5" s="597"/>
      <c r="B5" s="597"/>
      <c r="C5" s="597"/>
      <c r="D5" s="597"/>
      <c r="E5" s="597"/>
      <c r="F5" s="597"/>
      <c r="G5" s="597"/>
      <c r="H5" s="597"/>
    </row>
    <row r="6" spans="1:8" ht="15.75">
      <c r="A6" s="2"/>
      <c r="B6" s="2"/>
      <c r="C6" s="2"/>
      <c r="D6" s="2"/>
      <c r="E6" s="2"/>
      <c r="F6" s="2"/>
      <c r="G6" s="2"/>
      <c r="H6" s="6" t="s">
        <v>562</v>
      </c>
    </row>
    <row r="7" spans="1:8" ht="15.75">
      <c r="A7" s="2"/>
      <c r="B7" s="2"/>
      <c r="C7" s="2"/>
      <c r="D7" s="2"/>
      <c r="E7" s="2"/>
      <c r="F7" s="2"/>
      <c r="G7" s="2"/>
      <c r="H7" s="6" t="s">
        <v>563</v>
      </c>
    </row>
    <row r="8" spans="1:8" ht="15.75">
      <c r="A8" s="2"/>
      <c r="B8" s="2"/>
      <c r="C8" s="2"/>
      <c r="D8" s="2"/>
      <c r="E8" s="2"/>
      <c r="F8" s="2"/>
      <c r="G8" s="2"/>
      <c r="H8" s="6" t="s">
        <v>564</v>
      </c>
    </row>
    <row r="9" spans="1:8" ht="15.75">
      <c r="A9" s="2"/>
      <c r="B9" s="2"/>
      <c r="C9" s="2"/>
      <c r="D9" s="2"/>
      <c r="E9" s="2"/>
      <c r="F9" s="2"/>
      <c r="G9" s="2"/>
      <c r="H9" s="6" t="s">
        <v>565</v>
      </c>
    </row>
    <row r="10" spans="1:8" ht="15.75">
      <c r="A10" s="2"/>
      <c r="B10" s="2"/>
      <c r="C10" s="2"/>
      <c r="D10" s="2"/>
      <c r="E10" s="2"/>
      <c r="F10" s="2"/>
      <c r="G10" s="2"/>
      <c r="H10" s="6" t="s">
        <v>566</v>
      </c>
    </row>
    <row r="11" spans="1:8" ht="15.75">
      <c r="A11" s="2"/>
      <c r="B11" s="2"/>
      <c r="C11" s="2"/>
      <c r="D11" s="2"/>
      <c r="E11" s="2"/>
      <c r="F11" s="2"/>
      <c r="G11" s="2"/>
      <c r="H11" s="6" t="s">
        <v>567</v>
      </c>
    </row>
    <row r="13" spans="1:8" ht="15.75">
      <c r="A13" s="621" t="s">
        <v>342</v>
      </c>
      <c r="B13" s="621"/>
      <c r="C13" s="621"/>
      <c r="D13" s="621"/>
      <c r="E13" s="621"/>
      <c r="F13" s="621"/>
      <c r="G13" s="621"/>
      <c r="H13" s="621"/>
    </row>
    <row r="14" spans="1:8" ht="15.75">
      <c r="A14" s="402"/>
      <c r="B14" s="402"/>
      <c r="C14" s="402"/>
      <c r="D14" s="402"/>
      <c r="E14" s="402"/>
      <c r="F14" s="402"/>
      <c r="G14" s="402"/>
      <c r="H14" s="402"/>
    </row>
    <row r="15" spans="1:8" ht="93.75" customHeight="1">
      <c r="A15" s="618" t="s">
        <v>373</v>
      </c>
      <c r="B15" s="618"/>
      <c r="C15" s="618"/>
      <c r="D15" s="618"/>
      <c r="E15" s="618"/>
      <c r="F15" s="618"/>
      <c r="G15" s="618"/>
      <c r="H15" s="618"/>
    </row>
    <row r="16" spans="1:8" ht="49.5" customHeight="1">
      <c r="A16" s="618" t="s">
        <v>372</v>
      </c>
      <c r="B16" s="618"/>
      <c r="C16" s="618"/>
      <c r="D16" s="618"/>
      <c r="E16" s="618"/>
      <c r="F16" s="618"/>
      <c r="G16" s="618"/>
      <c r="H16" s="618"/>
    </row>
    <row r="17" spans="1:8" ht="65.25" customHeight="1">
      <c r="A17" s="583" t="s">
        <v>343</v>
      </c>
      <c r="B17" s="583"/>
      <c r="C17" s="583"/>
      <c r="D17" s="583"/>
      <c r="E17" s="583"/>
      <c r="F17" s="583"/>
      <c r="G17" s="583"/>
      <c r="H17" s="583"/>
    </row>
    <row r="18" spans="1:8" ht="33" customHeight="1">
      <c r="A18" s="583" t="s">
        <v>344</v>
      </c>
      <c r="B18" s="583"/>
      <c r="C18" s="583"/>
      <c r="D18" s="583"/>
      <c r="E18" s="583"/>
      <c r="F18" s="583"/>
      <c r="G18" s="583"/>
      <c r="H18" s="583"/>
    </row>
    <row r="19" spans="1:8" ht="55.5" customHeight="1">
      <c r="A19" s="406" t="s">
        <v>592</v>
      </c>
      <c r="B19" s="616" t="s">
        <v>345</v>
      </c>
      <c r="C19" s="616"/>
      <c r="D19" s="616"/>
      <c r="E19" s="616"/>
      <c r="F19" s="616"/>
      <c r="G19" s="616"/>
      <c r="H19" s="616"/>
    </row>
    <row r="20" spans="1:8" ht="48" customHeight="1">
      <c r="A20" s="406" t="s">
        <v>741</v>
      </c>
      <c r="B20" s="616" t="s">
        <v>346</v>
      </c>
      <c r="C20" s="616"/>
      <c r="D20" s="616"/>
      <c r="E20" s="616"/>
      <c r="F20" s="616"/>
      <c r="G20" s="616"/>
      <c r="H20" s="616"/>
    </row>
    <row r="21" spans="1:8" ht="48.75" customHeight="1">
      <c r="A21" s="406" t="s">
        <v>754</v>
      </c>
      <c r="B21" s="616" t="s">
        <v>347</v>
      </c>
      <c r="C21" s="616"/>
      <c r="D21" s="616"/>
      <c r="E21" s="616"/>
      <c r="F21" s="616"/>
      <c r="G21" s="616"/>
      <c r="H21" s="616"/>
    </row>
    <row r="22" spans="1:8" ht="18.75" customHeight="1">
      <c r="A22" s="406" t="s">
        <v>368</v>
      </c>
      <c r="B22" s="616" t="s">
        <v>348</v>
      </c>
      <c r="C22" s="616"/>
      <c r="D22" s="616"/>
      <c r="E22" s="616"/>
      <c r="F22" s="616"/>
      <c r="G22" s="616"/>
      <c r="H22" s="616"/>
    </row>
    <row r="23" spans="1:8" ht="32.25" customHeight="1">
      <c r="A23" s="406" t="s">
        <v>369</v>
      </c>
      <c r="B23" s="616" t="s">
        <v>349</v>
      </c>
      <c r="C23" s="616"/>
      <c r="D23" s="616"/>
      <c r="E23" s="616"/>
      <c r="F23" s="616"/>
      <c r="G23" s="616"/>
      <c r="H23" s="616"/>
    </row>
    <row r="24" spans="1:8" ht="64.5" customHeight="1">
      <c r="A24" s="406" t="s">
        <v>370</v>
      </c>
      <c r="B24" s="616" t="s">
        <v>350</v>
      </c>
      <c r="C24" s="616"/>
      <c r="D24" s="616"/>
      <c r="E24" s="616"/>
      <c r="F24" s="616"/>
      <c r="G24" s="616"/>
      <c r="H24" s="616"/>
    </row>
    <row r="25" spans="1:8" ht="32.25" customHeight="1">
      <c r="A25" s="584" t="s">
        <v>374</v>
      </c>
      <c r="B25" s="584"/>
      <c r="C25" s="584"/>
      <c r="D25" s="584"/>
      <c r="E25" s="584"/>
      <c r="F25" s="584"/>
      <c r="G25" s="584"/>
      <c r="H25" s="584"/>
    </row>
    <row r="26" spans="1:8" ht="15.75">
      <c r="A26" s="403"/>
      <c r="B26" s="403"/>
      <c r="C26" s="403"/>
      <c r="D26" s="403"/>
      <c r="E26" s="403"/>
      <c r="F26" s="403"/>
      <c r="G26" s="403"/>
      <c r="H26" s="403"/>
    </row>
    <row r="27" spans="1:8" ht="51.75" customHeight="1">
      <c r="A27" s="618" t="s">
        <v>377</v>
      </c>
      <c r="B27" s="618"/>
      <c r="C27" s="618"/>
      <c r="D27" s="618"/>
      <c r="E27" s="618"/>
      <c r="F27" s="618"/>
      <c r="G27" s="618"/>
      <c r="H27" s="618"/>
    </row>
    <row r="28" spans="1:8" ht="36" customHeight="1">
      <c r="A28" s="618" t="s">
        <v>375</v>
      </c>
      <c r="B28" s="618"/>
      <c r="C28" s="618"/>
      <c r="D28" s="618"/>
      <c r="E28" s="618"/>
      <c r="F28" s="618"/>
      <c r="G28" s="618"/>
      <c r="H28" s="618"/>
    </row>
    <row r="29" spans="1:8" ht="15.75">
      <c r="A29" s="620" t="s">
        <v>109</v>
      </c>
      <c r="B29" s="620"/>
      <c r="C29" s="620"/>
      <c r="D29" s="620"/>
      <c r="E29" s="620"/>
      <c r="F29" s="620"/>
      <c r="G29" s="620"/>
      <c r="H29" s="620"/>
    </row>
    <row r="30" spans="1:8" ht="15.75">
      <c r="A30" s="620" t="s">
        <v>110</v>
      </c>
      <c r="B30" s="620"/>
      <c r="C30" s="620"/>
      <c r="D30" s="620"/>
      <c r="E30" s="620"/>
      <c r="F30" s="620"/>
      <c r="G30" s="620"/>
      <c r="H30" s="620"/>
    </row>
    <row r="31" spans="1:8" ht="16.5" thickBot="1">
      <c r="A31" s="620" t="s">
        <v>351</v>
      </c>
      <c r="B31" s="620"/>
      <c r="C31" s="620"/>
      <c r="D31" s="620"/>
      <c r="E31" s="620"/>
      <c r="F31" s="620"/>
      <c r="G31" s="620"/>
      <c r="H31" s="620"/>
    </row>
    <row r="32" spans="1:8" ht="15.75">
      <c r="A32" s="402"/>
      <c r="B32" s="415" t="s">
        <v>352</v>
      </c>
      <c r="C32" s="409">
        <v>2017</v>
      </c>
      <c r="D32" s="409">
        <v>2018</v>
      </c>
      <c r="E32" s="409">
        <v>2019</v>
      </c>
      <c r="F32" s="410" t="s">
        <v>376</v>
      </c>
      <c r="G32" s="402"/>
      <c r="H32" s="402"/>
    </row>
    <row r="33" spans="1:8" ht="15.75">
      <c r="A33" s="402"/>
      <c r="B33" s="404" t="s">
        <v>353</v>
      </c>
      <c r="C33" s="411">
        <v>97.1</v>
      </c>
      <c r="D33" s="411">
        <v>104.7</v>
      </c>
      <c r="E33" s="411">
        <v>116.09</v>
      </c>
      <c r="F33" s="412">
        <f>SUM(C33:E33)</f>
        <v>317.89</v>
      </c>
      <c r="G33" s="402"/>
      <c r="H33" s="402"/>
    </row>
    <row r="34" spans="1:8" ht="15.75">
      <c r="A34" s="402"/>
      <c r="B34" s="404" t="s">
        <v>354</v>
      </c>
      <c r="C34" s="411">
        <v>114.58</v>
      </c>
      <c r="D34" s="411">
        <v>123.55</v>
      </c>
      <c r="E34" s="411">
        <v>136.99</v>
      </c>
      <c r="F34" s="412">
        <f>SUM(C34:E34)</f>
        <v>375.12</v>
      </c>
      <c r="G34" s="402"/>
      <c r="H34" s="402"/>
    </row>
    <row r="35" spans="1:8" ht="15.75">
      <c r="A35" s="402"/>
      <c r="B35" s="404" t="s">
        <v>355</v>
      </c>
      <c r="C35" s="411">
        <v>97.1</v>
      </c>
      <c r="D35" s="411">
        <v>104.7</v>
      </c>
      <c r="E35" s="411">
        <v>116.09</v>
      </c>
      <c r="F35" s="412">
        <f>SUM(C35:E35)</f>
        <v>317.89</v>
      </c>
      <c r="G35" s="402"/>
      <c r="H35" s="402"/>
    </row>
    <row r="36" spans="1:8" ht="15.75">
      <c r="A36" s="402"/>
      <c r="B36" s="404" t="s">
        <v>356</v>
      </c>
      <c r="C36" s="411">
        <v>59.58</v>
      </c>
      <c r="D36" s="411">
        <v>71.14</v>
      </c>
      <c r="E36" s="411">
        <v>34.81</v>
      </c>
      <c r="F36" s="412">
        <f>SUM(C36:E36)</f>
        <v>165.53</v>
      </c>
      <c r="G36" s="402"/>
      <c r="H36" s="402"/>
    </row>
    <row r="37" spans="1:8" ht="16.5" thickBot="1">
      <c r="A37" s="402"/>
      <c r="B37" s="405" t="s">
        <v>357</v>
      </c>
      <c r="C37" s="413">
        <v>29.01</v>
      </c>
      <c r="D37" s="413">
        <v>6.2</v>
      </c>
      <c r="E37" s="413">
        <v>66.53</v>
      </c>
      <c r="F37" s="414">
        <f>SUM(C37:E37)</f>
        <v>101.74000000000001</v>
      </c>
      <c r="G37" s="402"/>
      <c r="H37" s="402"/>
    </row>
    <row r="38" spans="1:8" ht="15.75">
      <c r="A38" s="402"/>
      <c r="B38" s="402"/>
      <c r="C38" s="402"/>
      <c r="D38" s="402"/>
      <c r="E38" s="402"/>
      <c r="F38" s="402"/>
      <c r="G38" s="402"/>
      <c r="H38" s="402"/>
    </row>
    <row r="39" spans="1:8" ht="15.75">
      <c r="A39" s="621" t="s">
        <v>358</v>
      </c>
      <c r="B39" s="621"/>
      <c r="C39" s="621"/>
      <c r="D39" s="621"/>
      <c r="E39" s="621"/>
      <c r="F39" s="621"/>
      <c r="G39" s="621"/>
      <c r="H39" s="402"/>
    </row>
    <row r="40" spans="1:8" ht="15.75">
      <c r="A40" s="402"/>
      <c r="B40" s="402"/>
      <c r="C40" s="402"/>
      <c r="D40" s="402"/>
      <c r="E40" s="402"/>
      <c r="F40" s="402"/>
      <c r="G40" s="402"/>
      <c r="H40" s="402"/>
    </row>
    <row r="41" spans="1:8" ht="15.75">
      <c r="A41" s="402"/>
      <c r="B41" s="617" t="s">
        <v>359</v>
      </c>
      <c r="C41" s="617"/>
      <c r="D41" s="617"/>
      <c r="E41" s="617"/>
      <c r="F41" s="617"/>
      <c r="G41" s="617"/>
      <c r="H41" s="617"/>
    </row>
    <row r="42" spans="1:8" ht="15.75">
      <c r="A42" s="402"/>
      <c r="B42" s="402"/>
      <c r="C42" s="402"/>
      <c r="D42" s="402"/>
      <c r="E42" s="402"/>
      <c r="F42" s="402"/>
      <c r="G42" s="402"/>
      <c r="H42" s="402"/>
    </row>
    <row r="43" spans="1:8" ht="128.25" customHeight="1">
      <c r="A43" s="618" t="s">
        <v>378</v>
      </c>
      <c r="B43" s="618"/>
      <c r="C43" s="618"/>
      <c r="D43" s="618"/>
      <c r="E43" s="618"/>
      <c r="F43" s="618"/>
      <c r="G43" s="618"/>
      <c r="H43" s="618"/>
    </row>
    <row r="44" spans="1:8" ht="15.75">
      <c r="A44" s="402" t="s">
        <v>360</v>
      </c>
      <c r="B44" s="402"/>
      <c r="C44" s="402"/>
      <c r="D44" s="402"/>
      <c r="E44" s="402"/>
      <c r="F44" s="402"/>
      <c r="G44" s="402"/>
      <c r="H44" s="402"/>
    </row>
    <row r="45" spans="1:8" ht="28.5" customHeight="1">
      <c r="A45" s="408" t="s">
        <v>592</v>
      </c>
      <c r="B45" s="616" t="s">
        <v>361</v>
      </c>
      <c r="C45" s="616"/>
      <c r="D45" s="616"/>
      <c r="E45" s="616"/>
      <c r="F45" s="616"/>
      <c r="G45" s="616"/>
      <c r="H45" s="616"/>
    </row>
    <row r="46" spans="1:8" ht="50.25" customHeight="1">
      <c r="A46" s="408" t="s">
        <v>741</v>
      </c>
      <c r="B46" s="616" t="s">
        <v>362</v>
      </c>
      <c r="C46" s="616"/>
      <c r="D46" s="616"/>
      <c r="E46" s="616"/>
      <c r="F46" s="616"/>
      <c r="G46" s="616"/>
      <c r="H46" s="616"/>
    </row>
    <row r="47" spans="1:8" ht="15.75">
      <c r="A47" s="408" t="s">
        <v>754</v>
      </c>
      <c r="B47" s="616" t="s">
        <v>363</v>
      </c>
      <c r="C47" s="616"/>
      <c r="D47" s="616"/>
      <c r="E47" s="616"/>
      <c r="F47" s="616"/>
      <c r="G47" s="616"/>
      <c r="H47" s="616"/>
    </row>
    <row r="48" spans="1:8" ht="29.25" customHeight="1">
      <c r="A48" s="408" t="s">
        <v>368</v>
      </c>
      <c r="B48" s="616" t="s">
        <v>364</v>
      </c>
      <c r="C48" s="616"/>
      <c r="D48" s="616"/>
      <c r="E48" s="616"/>
      <c r="F48" s="616"/>
      <c r="G48" s="616"/>
      <c r="H48" s="616"/>
    </row>
    <row r="49" spans="1:8" ht="15.75">
      <c r="A49" s="402"/>
      <c r="B49" s="402"/>
      <c r="C49" s="402"/>
      <c r="D49" s="402"/>
      <c r="E49" s="402"/>
      <c r="F49" s="402"/>
      <c r="G49" s="402"/>
      <c r="H49" s="402"/>
    </row>
    <row r="50" spans="1:8" ht="15.75">
      <c r="A50" s="402"/>
      <c r="B50" s="617" t="s">
        <v>365</v>
      </c>
      <c r="C50" s="617"/>
      <c r="D50" s="617"/>
      <c r="E50" s="617"/>
      <c r="F50" s="617"/>
      <c r="G50" s="617"/>
      <c r="H50" s="617"/>
    </row>
    <row r="51" spans="1:8" ht="15.75">
      <c r="A51" s="402"/>
      <c r="B51" s="402"/>
      <c r="C51" s="402"/>
      <c r="D51" s="402"/>
      <c r="E51" s="402"/>
      <c r="F51" s="402"/>
      <c r="G51" s="402"/>
      <c r="H51" s="402"/>
    </row>
    <row r="52" spans="1:8" ht="30" customHeight="1">
      <c r="A52" s="618" t="s">
        <v>366</v>
      </c>
      <c r="B52" s="618"/>
      <c r="C52" s="618"/>
      <c r="D52" s="618"/>
      <c r="E52" s="618"/>
      <c r="F52" s="618"/>
      <c r="G52" s="618"/>
      <c r="H52" s="618"/>
    </row>
    <row r="53" spans="1:8" ht="131.25" customHeight="1">
      <c r="A53" s="618" t="s">
        <v>367</v>
      </c>
      <c r="B53" s="618"/>
      <c r="C53" s="618"/>
      <c r="D53" s="618"/>
      <c r="E53" s="618"/>
      <c r="F53" s="618"/>
      <c r="G53" s="618"/>
      <c r="H53" s="618"/>
    </row>
    <row r="54" spans="1:8" ht="15.75">
      <c r="A54" s="402"/>
      <c r="B54" s="402"/>
      <c r="C54" s="402"/>
      <c r="D54" s="402"/>
      <c r="E54" s="402"/>
      <c r="F54" s="402"/>
      <c r="G54" s="402"/>
      <c r="H54" s="402"/>
    </row>
    <row r="55" spans="1:8" ht="34.5" customHeight="1">
      <c r="A55" s="402"/>
      <c r="B55" s="619"/>
      <c r="C55" s="619"/>
      <c r="D55" s="619"/>
      <c r="E55" s="619"/>
      <c r="F55" s="619"/>
      <c r="G55" s="619"/>
      <c r="H55" s="402"/>
    </row>
    <row r="56" spans="1:8" ht="15.75">
      <c r="A56" s="402"/>
      <c r="B56" s="402"/>
      <c r="C56" s="402"/>
      <c r="D56" s="402"/>
      <c r="E56" s="402"/>
      <c r="F56" s="402"/>
      <c r="G56" s="402"/>
      <c r="H56" s="402"/>
    </row>
    <row r="57" spans="1:8" ht="15.75">
      <c r="A57" s="402"/>
      <c r="B57" s="402"/>
      <c r="C57" s="402"/>
      <c r="D57" s="402"/>
      <c r="E57" s="402"/>
      <c r="F57" s="402"/>
      <c r="G57" s="402"/>
      <c r="H57" s="402"/>
    </row>
    <row r="58" spans="1:8" ht="30.75" customHeight="1">
      <c r="A58" s="402"/>
      <c r="B58" s="407"/>
      <c r="C58" s="616"/>
      <c r="D58" s="616"/>
      <c r="E58" s="616"/>
      <c r="F58" s="616"/>
      <c r="G58" s="616"/>
      <c r="H58" s="616"/>
    </row>
    <row r="59" spans="1:8" ht="51" customHeight="1">
      <c r="A59" s="402"/>
      <c r="B59" s="407"/>
      <c r="C59" s="616"/>
      <c r="D59" s="616"/>
      <c r="E59" s="616"/>
      <c r="F59" s="616"/>
      <c r="G59" s="616"/>
      <c r="H59" s="616"/>
    </row>
    <row r="60" spans="1:8" ht="47.25" customHeight="1">
      <c r="A60" s="402"/>
      <c r="B60" s="615"/>
      <c r="C60" s="615"/>
      <c r="D60" s="615"/>
      <c r="E60" s="615"/>
      <c r="F60" s="615"/>
      <c r="G60" s="615"/>
      <c r="H60" s="615"/>
    </row>
    <row r="61" spans="1:8" ht="15.75">
      <c r="A61" s="402"/>
      <c r="B61" s="402"/>
      <c r="C61" s="402"/>
      <c r="D61" s="402"/>
      <c r="E61" s="402"/>
      <c r="F61" s="402"/>
      <c r="G61" s="402"/>
      <c r="H61" s="402"/>
    </row>
    <row r="62" spans="1:8" ht="15.75">
      <c r="A62" s="402"/>
      <c r="B62" s="402"/>
      <c r="C62" s="402"/>
      <c r="D62" s="402"/>
      <c r="E62" s="402"/>
      <c r="F62" s="402"/>
      <c r="G62" s="402"/>
      <c r="H62" s="402"/>
    </row>
  </sheetData>
  <mergeCells count="33">
    <mergeCell ref="A4:H4"/>
    <mergeCell ref="B21:H21"/>
    <mergeCell ref="B22:H22"/>
    <mergeCell ref="A18:H18"/>
    <mergeCell ref="B19:H19"/>
    <mergeCell ref="B20:H20"/>
    <mergeCell ref="A5:H5"/>
    <mergeCell ref="A13:H13"/>
    <mergeCell ref="A15:H15"/>
    <mergeCell ref="A16:H16"/>
    <mergeCell ref="A17:H17"/>
    <mergeCell ref="B23:H23"/>
    <mergeCell ref="B24:H24"/>
    <mergeCell ref="A25:H25"/>
    <mergeCell ref="A27:H27"/>
    <mergeCell ref="A28:H28"/>
    <mergeCell ref="A29:H29"/>
    <mergeCell ref="A30:H30"/>
    <mergeCell ref="A31:H31"/>
    <mergeCell ref="B48:H48"/>
    <mergeCell ref="A39:G39"/>
    <mergeCell ref="A43:H43"/>
    <mergeCell ref="B47:H47"/>
    <mergeCell ref="B60:H60"/>
    <mergeCell ref="C58:H58"/>
    <mergeCell ref="C59:H59"/>
    <mergeCell ref="B41:H41"/>
    <mergeCell ref="B50:H50"/>
    <mergeCell ref="A52:H52"/>
    <mergeCell ref="A53:H53"/>
    <mergeCell ref="B55:G55"/>
    <mergeCell ref="B45:H45"/>
    <mergeCell ref="B46:H46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B110"/>
  <sheetViews>
    <sheetView view="pageBreakPreview" zoomScale="50" zoomScaleNormal="66" zoomScaleSheetLayoutView="50" workbookViewId="0" topLeftCell="A1">
      <selection activeCell="B1" sqref="B1"/>
    </sheetView>
  </sheetViews>
  <sheetFormatPr defaultColWidth="9.00390625" defaultRowHeight="15.75"/>
  <cols>
    <col min="1" max="1" width="2.00390625" style="0" customWidth="1"/>
    <col min="2" max="2" width="10.75390625" style="284" customWidth="1"/>
    <col min="3" max="3" width="45.50390625" style="285" customWidth="1"/>
    <col min="4" max="4" width="16.625" style="286" customWidth="1"/>
    <col min="5" max="5" width="14.125" style="286" customWidth="1"/>
    <col min="6" max="6" width="13.375" style="286" customWidth="1"/>
    <col min="7" max="7" width="13.00390625" style="286" customWidth="1"/>
    <col min="8" max="8" width="8.375" style="286" customWidth="1"/>
    <col min="9" max="9" width="8.875" style="286" customWidth="1"/>
    <col min="10" max="10" width="14.625" style="286" customWidth="1"/>
    <col min="11" max="11" width="13.25390625" style="286" customWidth="1"/>
    <col min="12" max="12" width="13.875" style="286" customWidth="1"/>
    <col min="13" max="13" width="13.25390625" style="286" customWidth="1"/>
    <col min="14" max="14" width="16.875" style="286" customWidth="1"/>
    <col min="15" max="15" width="13.25390625" style="286" customWidth="1"/>
    <col min="16" max="16" width="18.375" style="286" customWidth="1"/>
    <col min="17" max="17" width="15.00390625" style="286" customWidth="1"/>
    <col min="18" max="18" width="14.75390625" style="286" customWidth="1"/>
    <col min="19" max="19" width="14.625" style="286" customWidth="1"/>
    <col min="20" max="20" width="13.75390625" style="286" customWidth="1"/>
    <col min="21" max="21" width="14.25390625" style="286" customWidth="1"/>
    <col min="22" max="22" width="25.125" style="287" customWidth="1"/>
    <col min="23" max="23" width="20.50390625" style="287" customWidth="1"/>
    <col min="24" max="24" width="36.875" style="287" customWidth="1"/>
    <col min="25" max="25" width="11.625" style="286" customWidth="1"/>
    <col min="26" max="26" width="5.00390625" style="286" customWidth="1"/>
    <col min="27" max="27" width="9.125" style="286" customWidth="1"/>
    <col min="28" max="28" width="17.00390625" style="286" customWidth="1"/>
    <col min="29" max="16384" width="9.00390625" style="284" customWidth="1"/>
  </cols>
  <sheetData>
    <row r="1" spans="16:28" ht="15.75">
      <c r="P1" s="288"/>
      <c r="Q1" s="288"/>
      <c r="R1" s="288"/>
      <c r="S1" s="288"/>
      <c r="T1" s="288"/>
      <c r="U1" s="288"/>
      <c r="Y1" s="288"/>
      <c r="Z1" s="288"/>
      <c r="AA1" s="288"/>
      <c r="AB1" s="288"/>
    </row>
    <row r="2" spans="16:28" ht="15.75">
      <c r="P2" s="288"/>
      <c r="Q2" s="288"/>
      <c r="R2" s="288"/>
      <c r="S2" s="288"/>
      <c r="T2" s="288"/>
      <c r="U2" s="288"/>
      <c r="Y2" s="288"/>
      <c r="Z2" s="288"/>
      <c r="AA2" s="288"/>
      <c r="AB2" s="6" t="s">
        <v>921</v>
      </c>
    </row>
    <row r="3" spans="16:28" ht="15.75">
      <c r="P3" s="288"/>
      <c r="Q3" s="288"/>
      <c r="R3" s="288"/>
      <c r="S3" s="288"/>
      <c r="T3" s="288"/>
      <c r="U3" s="288"/>
      <c r="Y3" s="288"/>
      <c r="Z3" s="288"/>
      <c r="AA3" s="288"/>
      <c r="AB3" s="6" t="s">
        <v>558</v>
      </c>
    </row>
    <row r="4" spans="16:28" ht="15.75" customHeight="1">
      <c r="P4" s="288"/>
      <c r="Q4" s="288"/>
      <c r="R4" s="288"/>
      <c r="S4" s="288"/>
      <c r="T4" s="288"/>
      <c r="U4" s="288"/>
      <c r="Y4" s="289"/>
      <c r="Z4" s="2"/>
      <c r="AA4" s="2"/>
      <c r="AB4" s="6" t="s">
        <v>559</v>
      </c>
    </row>
    <row r="5" spans="16:28" ht="15.75">
      <c r="P5" s="288"/>
      <c r="Q5" s="288"/>
      <c r="R5" s="288"/>
      <c r="S5" s="288"/>
      <c r="T5" s="288"/>
      <c r="U5" s="288"/>
      <c r="Y5" s="288"/>
      <c r="Z5" s="288"/>
      <c r="AA5" s="288"/>
      <c r="AB5" s="288"/>
    </row>
    <row r="6" spans="2:28" ht="18.75">
      <c r="B6" s="576" t="s">
        <v>922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</row>
    <row r="7" spans="16:28" ht="15.75">
      <c r="P7" s="288"/>
      <c r="Q7" s="288"/>
      <c r="R7" s="288"/>
      <c r="S7" s="288"/>
      <c r="T7" s="288"/>
      <c r="U7" s="288"/>
      <c r="Y7" s="288"/>
      <c r="Z7" s="288"/>
      <c r="AA7" s="288"/>
      <c r="AB7" s="6"/>
    </row>
    <row r="8" spans="16:28" ht="15.75" customHeight="1">
      <c r="P8" s="288"/>
      <c r="Q8" s="288"/>
      <c r="R8" s="288"/>
      <c r="S8" s="288"/>
      <c r="T8" s="288"/>
      <c r="U8" s="288"/>
      <c r="Y8" s="2"/>
      <c r="Z8" s="2"/>
      <c r="AA8" s="2"/>
      <c r="AB8" s="6" t="s">
        <v>562</v>
      </c>
    </row>
    <row r="9" spans="16:28" ht="15.75" customHeight="1">
      <c r="P9" s="288"/>
      <c r="Q9" s="288"/>
      <c r="R9" s="288"/>
      <c r="S9" s="288"/>
      <c r="T9" s="288"/>
      <c r="U9" s="288"/>
      <c r="X9" s="286"/>
      <c r="Y9" s="2"/>
      <c r="Z9" s="2"/>
      <c r="AA9" s="2"/>
      <c r="AB9" s="6" t="s">
        <v>769</v>
      </c>
    </row>
    <row r="10" spans="16:28" ht="15.75">
      <c r="P10" s="288"/>
      <c r="Q10" s="290"/>
      <c r="R10" s="290"/>
      <c r="S10" s="288"/>
      <c r="T10" s="288"/>
      <c r="U10" s="288"/>
      <c r="Y10" s="2"/>
      <c r="Z10" s="607" t="s">
        <v>770</v>
      </c>
      <c r="AA10" s="607"/>
      <c r="AB10" s="607"/>
    </row>
    <row r="11" spans="16:28" ht="15.75" customHeight="1">
      <c r="P11" s="288"/>
      <c r="Q11" s="288"/>
      <c r="R11" s="288"/>
      <c r="S11" s="288"/>
      <c r="T11" s="288"/>
      <c r="U11" s="288"/>
      <c r="Y11" s="2"/>
      <c r="Z11" s="291"/>
      <c r="AA11" s="577" t="s">
        <v>771</v>
      </c>
      <c r="AB11" s="577"/>
    </row>
    <row r="12" spans="16:28" ht="15.75">
      <c r="P12" s="288"/>
      <c r="Q12" s="288"/>
      <c r="R12" s="288"/>
      <c r="S12" s="288"/>
      <c r="T12" s="288"/>
      <c r="U12" s="288"/>
      <c r="Y12" s="2"/>
      <c r="Z12" s="2"/>
      <c r="AA12" s="2"/>
      <c r="AB12" s="6" t="s">
        <v>772</v>
      </c>
    </row>
    <row r="13" spans="25:28" ht="15.75">
      <c r="Y13" s="2"/>
      <c r="Z13" s="2"/>
      <c r="AA13" s="2"/>
      <c r="AB13" s="6" t="s">
        <v>567</v>
      </c>
    </row>
    <row r="14" spans="2:28" s="286" customFormat="1" ht="84.75" customHeight="1">
      <c r="B14" s="578" t="s">
        <v>923</v>
      </c>
      <c r="C14" s="587" t="s">
        <v>924</v>
      </c>
      <c r="D14" s="587" t="s">
        <v>925</v>
      </c>
      <c r="E14" s="587" t="s">
        <v>926</v>
      </c>
      <c r="F14" s="587" t="s">
        <v>927</v>
      </c>
      <c r="G14" s="587"/>
      <c r="H14" s="587"/>
      <c r="I14" s="587" t="s">
        <v>928</v>
      </c>
      <c r="J14" s="587" t="s">
        <v>929</v>
      </c>
      <c r="K14" s="587"/>
      <c r="L14" s="587" t="s">
        <v>930</v>
      </c>
      <c r="M14" s="587"/>
      <c r="N14" s="587"/>
      <c r="O14" s="587"/>
      <c r="P14" s="587" t="s">
        <v>931</v>
      </c>
      <c r="Q14" s="575" t="s">
        <v>932</v>
      </c>
      <c r="R14" s="587" t="s">
        <v>933</v>
      </c>
      <c r="S14" s="587"/>
      <c r="T14" s="587" t="s">
        <v>0</v>
      </c>
      <c r="U14" s="587"/>
      <c r="V14" s="587" t="s">
        <v>1</v>
      </c>
      <c r="W14" s="587"/>
      <c r="X14" s="587"/>
      <c r="Y14" s="574" t="s">
        <v>2</v>
      </c>
      <c r="Z14" s="574"/>
      <c r="AA14" s="574"/>
      <c r="AB14" s="574"/>
    </row>
    <row r="15" spans="2:28" s="286" customFormat="1" ht="32.25" customHeight="1">
      <c r="B15" s="578"/>
      <c r="C15" s="587"/>
      <c r="D15" s="587"/>
      <c r="E15" s="587"/>
      <c r="F15" s="586" t="s">
        <v>3</v>
      </c>
      <c r="G15" s="586" t="s">
        <v>4</v>
      </c>
      <c r="H15" s="586" t="s">
        <v>5</v>
      </c>
      <c r="I15" s="587"/>
      <c r="J15" s="586" t="s">
        <v>6</v>
      </c>
      <c r="K15" s="586" t="s">
        <v>7</v>
      </c>
      <c r="L15" s="586" t="s">
        <v>8</v>
      </c>
      <c r="M15" s="586" t="s">
        <v>9</v>
      </c>
      <c r="N15" s="586" t="s">
        <v>10</v>
      </c>
      <c r="O15" s="586" t="s">
        <v>11</v>
      </c>
      <c r="P15" s="587"/>
      <c r="Q15" s="587"/>
      <c r="R15" s="586" t="s">
        <v>12</v>
      </c>
      <c r="S15" s="586" t="s">
        <v>13</v>
      </c>
      <c r="T15" s="586" t="s">
        <v>14</v>
      </c>
      <c r="U15" s="586" t="s">
        <v>13</v>
      </c>
      <c r="V15" s="586" t="s">
        <v>15</v>
      </c>
      <c r="W15" s="586" t="s">
        <v>16</v>
      </c>
      <c r="X15" s="586" t="s">
        <v>17</v>
      </c>
      <c r="Y15" s="586" t="s">
        <v>18</v>
      </c>
      <c r="Z15" s="586"/>
      <c r="AA15" s="588" t="s">
        <v>19</v>
      </c>
      <c r="AB15" s="588"/>
    </row>
    <row r="16" spans="2:28" ht="68.25" customHeight="1">
      <c r="B16" s="578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292" t="s">
        <v>20</v>
      </c>
      <c r="Z16" s="292" t="s">
        <v>21</v>
      </c>
      <c r="AA16" s="294" t="s">
        <v>22</v>
      </c>
      <c r="AB16" s="293" t="s">
        <v>23</v>
      </c>
    </row>
    <row r="17" spans="2:28" ht="29.25" customHeight="1">
      <c r="B17" s="295">
        <v>1</v>
      </c>
      <c r="C17" s="68" t="s">
        <v>593</v>
      </c>
      <c r="D17" s="292"/>
      <c r="E17" s="292"/>
      <c r="F17" s="292">
        <f>F18+F89+F91+F93</f>
        <v>40.82999999999999</v>
      </c>
      <c r="G17" s="292"/>
      <c r="H17" s="292">
        <f>H18+H95</f>
        <v>10.48</v>
      </c>
      <c r="I17" s="292"/>
      <c r="J17" s="292"/>
      <c r="K17" s="292"/>
      <c r="L17" s="292"/>
      <c r="M17" s="292"/>
      <c r="N17" s="292"/>
      <c r="O17" s="292"/>
      <c r="P17" s="292"/>
      <c r="Q17" s="292"/>
      <c r="R17" s="296">
        <f>R18+R89+R91+R93</f>
        <v>353.1890000000002</v>
      </c>
      <c r="S17" s="296"/>
      <c r="T17" s="296">
        <f>T18+T89+T91+T93</f>
        <v>353.1890000000002</v>
      </c>
      <c r="U17" s="292"/>
      <c r="V17" s="292"/>
      <c r="W17" s="292"/>
      <c r="X17" s="292"/>
      <c r="Y17" s="292"/>
      <c r="Z17" s="292"/>
      <c r="AA17" s="292"/>
      <c r="AB17" s="297"/>
    </row>
    <row r="18" spans="2:28" ht="39.75" customHeight="1">
      <c r="B18" s="22" t="s">
        <v>594</v>
      </c>
      <c r="C18" s="23" t="s">
        <v>595</v>
      </c>
      <c r="D18" s="298"/>
      <c r="E18" s="298"/>
      <c r="F18" s="298">
        <f>SUM(F19:F88)</f>
        <v>40.82999999999999</v>
      </c>
      <c r="G18" s="298"/>
      <c r="H18" s="298">
        <f>SUM(H19:H88)</f>
        <v>10.110000000000001</v>
      </c>
      <c r="I18" s="298"/>
      <c r="J18" s="298"/>
      <c r="K18" s="298"/>
      <c r="L18" s="298"/>
      <c r="M18" s="298"/>
      <c r="N18" s="298"/>
      <c r="O18" s="298"/>
      <c r="P18" s="298"/>
      <c r="Q18" s="298"/>
      <c r="R18" s="299">
        <f>SUM(R19:R88)</f>
        <v>353.1890000000002</v>
      </c>
      <c r="S18" s="299"/>
      <c r="T18" s="299">
        <f>SUM(T19:T88)</f>
        <v>353.1890000000002</v>
      </c>
      <c r="U18" s="298"/>
      <c r="V18" s="298"/>
      <c r="W18" s="298"/>
      <c r="X18" s="298"/>
      <c r="Y18" s="298"/>
      <c r="Z18" s="298"/>
      <c r="AA18" s="298"/>
      <c r="AB18" s="300"/>
    </row>
    <row r="19" spans="2:28" s="301" customFormat="1" ht="105" customHeight="1">
      <c r="B19" s="145" t="s">
        <v>596</v>
      </c>
      <c r="C19" s="28" t="s">
        <v>597</v>
      </c>
      <c r="D19" s="302" t="s">
        <v>24</v>
      </c>
      <c r="E19" s="302" t="s">
        <v>25</v>
      </c>
      <c r="F19" s="30"/>
      <c r="G19" s="31"/>
      <c r="H19" s="149">
        <v>1</v>
      </c>
      <c r="I19" s="31"/>
      <c r="J19" s="31">
        <v>2017</v>
      </c>
      <c r="K19" s="31">
        <v>2017</v>
      </c>
      <c r="L19" s="31" t="s">
        <v>26</v>
      </c>
      <c r="M19" s="31" t="s">
        <v>26</v>
      </c>
      <c r="N19" s="31" t="s">
        <v>26</v>
      </c>
      <c r="O19" s="31" t="s">
        <v>26</v>
      </c>
      <c r="P19" s="31">
        <v>0</v>
      </c>
      <c r="Q19" s="31">
        <v>0</v>
      </c>
      <c r="R19" s="32">
        <f>(7.07+3.89+1.39)</f>
        <v>12.350000000000001</v>
      </c>
      <c r="S19" s="31"/>
      <c r="T19" s="32">
        <f>(7.07+3.89+1.39)</f>
        <v>12.350000000000001</v>
      </c>
      <c r="U19" s="31"/>
      <c r="V19" s="88" t="s">
        <v>27</v>
      </c>
      <c r="W19" s="43" t="s">
        <v>28</v>
      </c>
      <c r="X19" s="88" t="s">
        <v>29</v>
      </c>
      <c r="Y19" s="42"/>
      <c r="Z19" s="42"/>
      <c r="AA19" s="42"/>
      <c r="AB19" s="303"/>
    </row>
    <row r="20" spans="2:28" s="301" customFormat="1" ht="107.25" customHeight="1">
      <c r="B20" s="145" t="s">
        <v>599</v>
      </c>
      <c r="C20" s="28" t="s">
        <v>324</v>
      </c>
      <c r="D20" s="302" t="s">
        <v>24</v>
      </c>
      <c r="E20" s="302" t="s">
        <v>30</v>
      </c>
      <c r="F20" s="30"/>
      <c r="G20" s="31"/>
      <c r="H20" s="565" t="s">
        <v>26</v>
      </c>
      <c r="I20" s="31"/>
      <c r="J20" s="31">
        <v>2017</v>
      </c>
      <c r="K20" s="31">
        <v>2018</v>
      </c>
      <c r="L20" s="31" t="s">
        <v>26</v>
      </c>
      <c r="M20" s="31" t="s">
        <v>26</v>
      </c>
      <c r="N20" s="31" t="s">
        <v>26</v>
      </c>
      <c r="O20" s="31" t="s">
        <v>26</v>
      </c>
      <c r="P20" s="31">
        <v>0</v>
      </c>
      <c r="Q20" s="31">
        <v>0</v>
      </c>
      <c r="R20" s="32">
        <f>(1.12+0.096)+(1.09+0.115)</f>
        <v>2.4210000000000003</v>
      </c>
      <c r="S20" s="31"/>
      <c r="T20" s="32">
        <f>(1.12+0.096)+(1.09+0.115)</f>
        <v>2.4210000000000003</v>
      </c>
      <c r="U20" s="31"/>
      <c r="V20" s="88" t="s">
        <v>27</v>
      </c>
      <c r="W20" s="43" t="s">
        <v>28</v>
      </c>
      <c r="X20" s="88" t="s">
        <v>29</v>
      </c>
      <c r="Y20" s="42"/>
      <c r="Z20" s="42"/>
      <c r="AA20" s="42"/>
      <c r="AB20" s="303"/>
    </row>
    <row r="21" spans="2:28" s="301" customFormat="1" ht="110.25" customHeight="1">
      <c r="B21" s="145" t="s">
        <v>600</v>
      </c>
      <c r="C21" s="28" t="s">
        <v>325</v>
      </c>
      <c r="D21" s="302" t="s">
        <v>24</v>
      </c>
      <c r="E21" s="302" t="s">
        <v>30</v>
      </c>
      <c r="F21" s="30"/>
      <c r="G21" s="31"/>
      <c r="H21" s="565" t="s">
        <v>26</v>
      </c>
      <c r="I21" s="31"/>
      <c r="J21" s="31">
        <v>2017</v>
      </c>
      <c r="K21" s="31">
        <v>2017</v>
      </c>
      <c r="L21" s="31" t="s">
        <v>26</v>
      </c>
      <c r="M21" s="31" t="s">
        <v>26</v>
      </c>
      <c r="N21" s="31" t="s">
        <v>26</v>
      </c>
      <c r="O21" s="31" t="s">
        <v>26</v>
      </c>
      <c r="P21" s="31">
        <v>0</v>
      </c>
      <c r="Q21" s="31">
        <v>0</v>
      </c>
      <c r="R21" s="32">
        <f>0.4</f>
        <v>0.4</v>
      </c>
      <c r="S21" s="34"/>
      <c r="T21" s="32">
        <v>0.4</v>
      </c>
      <c r="U21" s="31"/>
      <c r="V21" s="88" t="s">
        <v>27</v>
      </c>
      <c r="W21" s="43" t="s">
        <v>28</v>
      </c>
      <c r="X21" s="88" t="s">
        <v>29</v>
      </c>
      <c r="Y21" s="42"/>
      <c r="Z21" s="42"/>
      <c r="AA21" s="42"/>
      <c r="AB21" s="303"/>
    </row>
    <row r="22" spans="2:28" s="301" customFormat="1" ht="177" customHeight="1">
      <c r="B22" s="145" t="s">
        <v>602</v>
      </c>
      <c r="C22" s="28" t="s">
        <v>603</v>
      </c>
      <c r="D22" s="302" t="s">
        <v>24</v>
      </c>
      <c r="E22" s="302" t="s">
        <v>30</v>
      </c>
      <c r="F22" s="30"/>
      <c r="G22" s="31"/>
      <c r="H22" s="30" t="s">
        <v>26</v>
      </c>
      <c r="I22" s="31"/>
      <c r="J22" s="31">
        <v>2017</v>
      </c>
      <c r="K22" s="31">
        <v>2017</v>
      </c>
      <c r="L22" s="31" t="s">
        <v>26</v>
      </c>
      <c r="M22" s="31" t="s">
        <v>26</v>
      </c>
      <c r="N22" s="31" t="s">
        <v>26</v>
      </c>
      <c r="O22" s="31" t="s">
        <v>26</v>
      </c>
      <c r="P22" s="31">
        <v>0</v>
      </c>
      <c r="Q22" s="31">
        <v>0</v>
      </c>
      <c r="R22" s="32">
        <f>(1.08+0.08)</f>
        <v>1.1600000000000001</v>
      </c>
      <c r="S22" s="34"/>
      <c r="T22" s="32">
        <f>(1.08+0.08)</f>
        <v>1.1600000000000001</v>
      </c>
      <c r="U22" s="31"/>
      <c r="V22" s="88" t="s">
        <v>31</v>
      </c>
      <c r="W22" s="88" t="s">
        <v>32</v>
      </c>
      <c r="X22" s="304" t="s">
        <v>33</v>
      </c>
      <c r="Y22" s="42"/>
      <c r="Z22" s="42"/>
      <c r="AA22" s="42"/>
      <c r="AB22" s="303"/>
    </row>
    <row r="23" spans="2:28" s="301" customFormat="1" ht="174.75" customHeight="1">
      <c r="B23" s="145" t="s">
        <v>604</v>
      </c>
      <c r="C23" s="28" t="s">
        <v>605</v>
      </c>
      <c r="D23" s="302" t="s">
        <v>24</v>
      </c>
      <c r="E23" s="302" t="s">
        <v>30</v>
      </c>
      <c r="F23" s="30"/>
      <c r="G23" s="305"/>
      <c r="H23" s="30" t="s">
        <v>26</v>
      </c>
      <c r="I23" s="306"/>
      <c r="J23" s="31">
        <v>2017</v>
      </c>
      <c r="K23" s="31">
        <v>2017</v>
      </c>
      <c r="L23" s="76" t="s">
        <v>26</v>
      </c>
      <c r="M23" s="76" t="s">
        <v>26</v>
      </c>
      <c r="N23" s="122" t="s">
        <v>26</v>
      </c>
      <c r="O23" s="122" t="s">
        <v>26</v>
      </c>
      <c r="P23" s="302">
        <v>0</v>
      </c>
      <c r="Q23" s="302">
        <v>0</v>
      </c>
      <c r="R23" s="32">
        <f>0.4+1.63+0.34</f>
        <v>2.3699999999999997</v>
      </c>
      <c r="S23" s="307"/>
      <c r="T23" s="32">
        <f>0.4+1.63+0.34</f>
        <v>2.3699999999999997</v>
      </c>
      <c r="U23" s="306"/>
      <c r="V23" s="88" t="s">
        <v>31</v>
      </c>
      <c r="W23" s="88" t="s">
        <v>32</v>
      </c>
      <c r="X23" s="304" t="s">
        <v>33</v>
      </c>
      <c r="Y23" s="42"/>
      <c r="Z23" s="42"/>
      <c r="AA23" s="42"/>
      <c r="AB23" s="303"/>
    </row>
    <row r="24" spans="2:28" s="301" customFormat="1" ht="157.5">
      <c r="B24" s="145" t="s">
        <v>606</v>
      </c>
      <c r="C24" s="28" t="s">
        <v>607</v>
      </c>
      <c r="D24" s="302" t="s">
        <v>24</v>
      </c>
      <c r="E24" s="302" t="s">
        <v>30</v>
      </c>
      <c r="F24" s="30"/>
      <c r="G24" s="305"/>
      <c r="H24" s="30" t="s">
        <v>26</v>
      </c>
      <c r="I24" s="306"/>
      <c r="J24" s="31">
        <v>2017</v>
      </c>
      <c r="K24" s="31">
        <v>2017</v>
      </c>
      <c r="L24" s="76" t="s">
        <v>26</v>
      </c>
      <c r="M24" s="76" t="s">
        <v>26</v>
      </c>
      <c r="N24" s="122" t="s">
        <v>26</v>
      </c>
      <c r="O24" s="122" t="s">
        <v>26</v>
      </c>
      <c r="P24" s="302">
        <v>0</v>
      </c>
      <c r="Q24" s="302">
        <v>0</v>
      </c>
      <c r="R24" s="32">
        <f>(1.08+0.08)</f>
        <v>1.1600000000000001</v>
      </c>
      <c r="S24" s="306"/>
      <c r="T24" s="32">
        <f>(1.08+0.08)</f>
        <v>1.1600000000000001</v>
      </c>
      <c r="U24" s="306"/>
      <c r="V24" s="88" t="s">
        <v>31</v>
      </c>
      <c r="W24" s="88" t="s">
        <v>32</v>
      </c>
      <c r="X24" s="304" t="s">
        <v>33</v>
      </c>
      <c r="Y24" s="42"/>
      <c r="Z24" s="42"/>
      <c r="AA24" s="42"/>
      <c r="AB24" s="303"/>
    </row>
    <row r="25" spans="2:28" s="301" customFormat="1" ht="174.75" customHeight="1">
      <c r="B25" s="145" t="s">
        <v>608</v>
      </c>
      <c r="C25" s="28" t="s">
        <v>609</v>
      </c>
      <c r="D25" s="302" t="s">
        <v>24</v>
      </c>
      <c r="E25" s="302" t="s">
        <v>30</v>
      </c>
      <c r="F25" s="30">
        <v>8</v>
      </c>
      <c r="G25" s="31"/>
      <c r="H25" s="30"/>
      <c r="I25" s="31"/>
      <c r="J25" s="31">
        <v>2017</v>
      </c>
      <c r="K25" s="31">
        <v>2017</v>
      </c>
      <c r="L25" s="76" t="s">
        <v>26</v>
      </c>
      <c r="M25" s="76" t="s">
        <v>26</v>
      </c>
      <c r="N25" s="122" t="s">
        <v>26</v>
      </c>
      <c r="O25" s="122" t="s">
        <v>26</v>
      </c>
      <c r="P25" s="302">
        <v>0</v>
      </c>
      <c r="Q25" s="302">
        <v>0</v>
      </c>
      <c r="R25" s="32">
        <f>(31.29+5.93+1.42)</f>
        <v>38.64</v>
      </c>
      <c r="S25" s="306"/>
      <c r="T25" s="32">
        <f>(31.29+5.93+1.42)</f>
        <v>38.64</v>
      </c>
      <c r="U25" s="31"/>
      <c r="V25" s="88" t="s">
        <v>31</v>
      </c>
      <c r="W25" s="88" t="s">
        <v>32</v>
      </c>
      <c r="X25" s="304" t="s">
        <v>33</v>
      </c>
      <c r="Y25" s="42"/>
      <c r="Z25" s="42"/>
      <c r="AA25" s="42"/>
      <c r="AB25" s="303"/>
    </row>
    <row r="26" spans="2:28" s="301" customFormat="1" ht="141.75">
      <c r="B26" s="145" t="s">
        <v>610</v>
      </c>
      <c r="C26" s="28" t="s">
        <v>611</v>
      </c>
      <c r="D26" s="302" t="s">
        <v>24</v>
      </c>
      <c r="E26" s="302" t="s">
        <v>34</v>
      </c>
      <c r="F26" s="30"/>
      <c r="G26" s="29"/>
      <c r="H26" s="30"/>
      <c r="I26" s="308"/>
      <c r="J26" s="31">
        <v>2017</v>
      </c>
      <c r="K26" s="31">
        <v>2017</v>
      </c>
      <c r="L26" s="76" t="s">
        <v>26</v>
      </c>
      <c r="M26" s="76" t="s">
        <v>26</v>
      </c>
      <c r="N26" s="122" t="s">
        <v>26</v>
      </c>
      <c r="O26" s="122" t="s">
        <v>26</v>
      </c>
      <c r="P26" s="302">
        <v>0</v>
      </c>
      <c r="Q26" s="302">
        <v>0</v>
      </c>
      <c r="R26" s="32">
        <f>(6.51+6.92+0.87)</f>
        <v>14.299999999999999</v>
      </c>
      <c r="S26" s="306"/>
      <c r="T26" s="32">
        <f>(6.51+6.92+0.87)</f>
        <v>14.299999999999999</v>
      </c>
      <c r="U26" s="306"/>
      <c r="V26" s="88" t="s">
        <v>35</v>
      </c>
      <c r="W26" s="88" t="s">
        <v>36</v>
      </c>
      <c r="X26" s="88" t="s">
        <v>37</v>
      </c>
      <c r="Y26" s="42"/>
      <c r="Z26" s="42"/>
      <c r="AA26" s="42"/>
      <c r="AB26" s="303"/>
    </row>
    <row r="27" spans="2:28" s="301" customFormat="1" ht="141.75">
      <c r="B27" s="145" t="s">
        <v>612</v>
      </c>
      <c r="C27" s="28" t="s">
        <v>613</v>
      </c>
      <c r="D27" s="302" t="s">
        <v>24</v>
      </c>
      <c r="E27" s="302" t="s">
        <v>38</v>
      </c>
      <c r="F27" s="30"/>
      <c r="G27" s="305"/>
      <c r="H27" s="30"/>
      <c r="I27" s="306"/>
      <c r="J27" s="31">
        <v>2017</v>
      </c>
      <c r="K27" s="31">
        <v>2017</v>
      </c>
      <c r="L27" s="76" t="s">
        <v>26</v>
      </c>
      <c r="M27" s="76" t="s">
        <v>26</v>
      </c>
      <c r="N27" s="122" t="s">
        <v>26</v>
      </c>
      <c r="O27" s="122" t="s">
        <v>26</v>
      </c>
      <c r="P27" s="302">
        <v>0</v>
      </c>
      <c r="Q27" s="302">
        <v>0</v>
      </c>
      <c r="R27" s="32">
        <v>2.45</v>
      </c>
      <c r="S27" s="306"/>
      <c r="T27" s="32">
        <v>2.45</v>
      </c>
      <c r="U27" s="306"/>
      <c r="V27" s="88" t="s">
        <v>35</v>
      </c>
      <c r="W27" s="88" t="s">
        <v>36</v>
      </c>
      <c r="X27" s="88" t="s">
        <v>37</v>
      </c>
      <c r="Y27" s="42"/>
      <c r="Z27" s="42"/>
      <c r="AA27" s="42"/>
      <c r="AB27" s="303"/>
    </row>
    <row r="28" spans="2:28" s="301" customFormat="1" ht="157.5">
      <c r="B28" s="145" t="s">
        <v>614</v>
      </c>
      <c r="C28" s="39" t="s">
        <v>615</v>
      </c>
      <c r="D28" s="302" t="s">
        <v>24</v>
      </c>
      <c r="E28" s="31" t="s">
        <v>39</v>
      </c>
      <c r="F28" s="30">
        <v>1.26</v>
      </c>
      <c r="G28" s="31"/>
      <c r="H28" s="30"/>
      <c r="I28" s="31"/>
      <c r="J28" s="31">
        <v>2017</v>
      </c>
      <c r="K28" s="31">
        <v>2017</v>
      </c>
      <c r="L28" s="76" t="s">
        <v>26</v>
      </c>
      <c r="M28" s="76" t="s">
        <v>26</v>
      </c>
      <c r="N28" s="122" t="s">
        <v>26</v>
      </c>
      <c r="O28" s="122" t="s">
        <v>26</v>
      </c>
      <c r="P28" s="302">
        <v>0</v>
      </c>
      <c r="Q28" s="302">
        <v>0</v>
      </c>
      <c r="R28" s="32">
        <f>(7.6+0.36)</f>
        <v>7.96</v>
      </c>
      <c r="S28" s="34"/>
      <c r="T28" s="32">
        <f>(7.6+0.36)</f>
        <v>7.96</v>
      </c>
      <c r="U28" s="31"/>
      <c r="V28" s="88" t="s">
        <v>31</v>
      </c>
      <c r="W28" s="88" t="s">
        <v>32</v>
      </c>
      <c r="X28" s="304" t="s">
        <v>33</v>
      </c>
      <c r="Y28" s="42"/>
      <c r="Z28" s="42"/>
      <c r="AA28" s="42"/>
      <c r="AB28" s="303"/>
    </row>
    <row r="29" spans="2:28" s="301" customFormat="1" ht="157.5">
      <c r="B29" s="145" t="s">
        <v>616</v>
      </c>
      <c r="C29" s="39" t="s">
        <v>617</v>
      </c>
      <c r="D29" s="302" t="s">
        <v>24</v>
      </c>
      <c r="E29" s="31" t="s">
        <v>39</v>
      </c>
      <c r="F29" s="30"/>
      <c r="G29" s="31"/>
      <c r="H29" s="30"/>
      <c r="I29" s="31"/>
      <c r="J29" s="31">
        <v>2017</v>
      </c>
      <c r="K29" s="31">
        <v>2017</v>
      </c>
      <c r="L29" s="76" t="s">
        <v>26</v>
      </c>
      <c r="M29" s="76" t="s">
        <v>26</v>
      </c>
      <c r="N29" s="122" t="s">
        <v>26</v>
      </c>
      <c r="O29" s="122" t="s">
        <v>26</v>
      </c>
      <c r="P29" s="302">
        <v>0</v>
      </c>
      <c r="Q29" s="302">
        <v>0</v>
      </c>
      <c r="R29" s="32">
        <v>2.85</v>
      </c>
      <c r="S29" s="34"/>
      <c r="T29" s="32">
        <v>2.85</v>
      </c>
      <c r="U29" s="31"/>
      <c r="V29" s="172" t="s">
        <v>40</v>
      </c>
      <c r="W29" s="172" t="s">
        <v>32</v>
      </c>
      <c r="X29" s="88" t="s">
        <v>29</v>
      </c>
      <c r="Y29" s="42"/>
      <c r="Z29" s="42"/>
      <c r="AA29" s="42"/>
      <c r="AB29" s="303"/>
    </row>
    <row r="30" spans="2:28" s="301" customFormat="1" ht="126">
      <c r="B30" s="145" t="s">
        <v>618</v>
      </c>
      <c r="C30" s="28" t="s">
        <v>619</v>
      </c>
      <c r="D30" s="302" t="s">
        <v>24</v>
      </c>
      <c r="E30" s="31" t="s">
        <v>41</v>
      </c>
      <c r="F30" s="30"/>
      <c r="G30" s="29"/>
      <c r="H30" s="30"/>
      <c r="I30" s="306"/>
      <c r="J30" s="31">
        <v>2017</v>
      </c>
      <c r="K30" s="31">
        <v>2017</v>
      </c>
      <c r="L30" s="76" t="s">
        <v>26</v>
      </c>
      <c r="M30" s="76" t="s">
        <v>26</v>
      </c>
      <c r="N30" s="122" t="s">
        <v>26</v>
      </c>
      <c r="O30" s="122" t="s">
        <v>26</v>
      </c>
      <c r="P30" s="302">
        <v>0</v>
      </c>
      <c r="Q30" s="302">
        <v>0</v>
      </c>
      <c r="R30" s="32">
        <f>(0.73+0.03)</f>
        <v>0.76</v>
      </c>
      <c r="S30" s="306"/>
      <c r="T30" s="32">
        <f>(0.73+0.03)</f>
        <v>0.76</v>
      </c>
      <c r="U30" s="306"/>
      <c r="V30" s="88" t="s">
        <v>42</v>
      </c>
      <c r="W30" s="88" t="s">
        <v>43</v>
      </c>
      <c r="X30" s="309" t="s">
        <v>44</v>
      </c>
      <c r="Y30" s="42"/>
      <c r="Z30" s="42"/>
      <c r="AA30" s="42"/>
      <c r="AB30" s="303"/>
    </row>
    <row r="31" spans="2:28" s="301" customFormat="1" ht="126">
      <c r="B31" s="145" t="s">
        <v>620</v>
      </c>
      <c r="C31" s="28" t="s">
        <v>621</v>
      </c>
      <c r="D31" s="302" t="s">
        <v>24</v>
      </c>
      <c r="E31" s="31" t="s">
        <v>45</v>
      </c>
      <c r="F31" s="30">
        <v>0.4</v>
      </c>
      <c r="G31" s="29"/>
      <c r="H31" s="30"/>
      <c r="I31" s="306"/>
      <c r="J31" s="31">
        <v>2017</v>
      </c>
      <c r="K31" s="31">
        <v>2017</v>
      </c>
      <c r="L31" s="76" t="s">
        <v>26</v>
      </c>
      <c r="M31" s="76" t="s">
        <v>26</v>
      </c>
      <c r="N31" s="122" t="s">
        <v>26</v>
      </c>
      <c r="O31" s="122" t="s">
        <v>26</v>
      </c>
      <c r="P31" s="302">
        <v>0</v>
      </c>
      <c r="Q31" s="302">
        <v>0</v>
      </c>
      <c r="R31" s="32">
        <f>(0.8+0.07)</f>
        <v>0.8700000000000001</v>
      </c>
      <c r="S31" s="306"/>
      <c r="T31" s="32">
        <f>(0.8+0.07)</f>
        <v>0.8700000000000001</v>
      </c>
      <c r="U31" s="306"/>
      <c r="V31" s="88" t="s">
        <v>42</v>
      </c>
      <c r="W31" s="88" t="s">
        <v>43</v>
      </c>
      <c r="X31" s="309" t="s">
        <v>44</v>
      </c>
      <c r="Y31" s="42"/>
      <c r="Z31" s="42"/>
      <c r="AA31" s="42"/>
      <c r="AB31" s="303"/>
    </row>
    <row r="32" spans="2:28" s="301" customFormat="1" ht="126">
      <c r="B32" s="145" t="s">
        <v>622</v>
      </c>
      <c r="C32" s="28" t="s">
        <v>623</v>
      </c>
      <c r="D32" s="31" t="s">
        <v>24</v>
      </c>
      <c r="E32" s="31" t="s">
        <v>39</v>
      </c>
      <c r="F32" s="30">
        <v>1.26</v>
      </c>
      <c r="G32" s="31"/>
      <c r="H32" s="30"/>
      <c r="I32" s="31"/>
      <c r="J32" s="31">
        <v>2017</v>
      </c>
      <c r="K32" s="31">
        <v>2017</v>
      </c>
      <c r="L32" s="31" t="s">
        <v>26</v>
      </c>
      <c r="M32" s="31" t="s">
        <v>26</v>
      </c>
      <c r="N32" s="31" t="s">
        <v>26</v>
      </c>
      <c r="O32" s="31" t="s">
        <v>26</v>
      </c>
      <c r="P32" s="31">
        <v>0</v>
      </c>
      <c r="Q32" s="31">
        <v>0</v>
      </c>
      <c r="R32" s="32">
        <f>12.6+1.42</f>
        <v>14.02</v>
      </c>
      <c r="S32" s="31"/>
      <c r="T32" s="32">
        <f>12.6+1.42</f>
        <v>14.02</v>
      </c>
      <c r="U32" s="31"/>
      <c r="V32" s="88" t="s">
        <v>42</v>
      </c>
      <c r="W32" s="88" t="s">
        <v>43</v>
      </c>
      <c r="X32" s="309" t="s">
        <v>44</v>
      </c>
      <c r="Y32" s="42"/>
      <c r="Z32" s="42"/>
      <c r="AA32" s="42"/>
      <c r="AB32" s="303"/>
    </row>
    <row r="33" spans="2:28" s="301" customFormat="1" ht="141.75">
      <c r="B33" s="145" t="s">
        <v>624</v>
      </c>
      <c r="C33" s="28" t="s">
        <v>625</v>
      </c>
      <c r="D33" s="302" t="s">
        <v>24</v>
      </c>
      <c r="E33" s="31" t="s">
        <v>39</v>
      </c>
      <c r="F33" s="30">
        <v>0.8</v>
      </c>
      <c r="G33" s="305"/>
      <c r="H33" s="30"/>
      <c r="I33" s="306"/>
      <c r="J33" s="31">
        <v>2017</v>
      </c>
      <c r="K33" s="31">
        <v>2017</v>
      </c>
      <c r="L33" s="76" t="s">
        <v>26</v>
      </c>
      <c r="M33" s="76" t="s">
        <v>26</v>
      </c>
      <c r="N33" s="122" t="s">
        <v>26</v>
      </c>
      <c r="O33" s="122" t="s">
        <v>26</v>
      </c>
      <c r="P33" s="302">
        <v>0</v>
      </c>
      <c r="Q33" s="302">
        <v>0</v>
      </c>
      <c r="R33" s="32">
        <f>1.97+0.13</f>
        <v>2.1</v>
      </c>
      <c r="S33" s="307"/>
      <c r="T33" s="32">
        <f>1.97+0.13</f>
        <v>2.1</v>
      </c>
      <c r="U33" s="306"/>
      <c r="V33" s="88" t="s">
        <v>35</v>
      </c>
      <c r="W33" s="88" t="s">
        <v>36</v>
      </c>
      <c r="X33" s="88" t="s">
        <v>37</v>
      </c>
      <c r="Y33" s="42"/>
      <c r="Z33" s="42"/>
      <c r="AA33" s="42"/>
      <c r="AB33" s="303"/>
    </row>
    <row r="34" spans="2:28" s="301" customFormat="1" ht="141.75">
      <c r="B34" s="145" t="s">
        <v>626</v>
      </c>
      <c r="C34" s="28" t="s">
        <v>627</v>
      </c>
      <c r="D34" s="31" t="s">
        <v>24</v>
      </c>
      <c r="E34" s="302" t="s">
        <v>46</v>
      </c>
      <c r="F34" s="30"/>
      <c r="G34" s="31"/>
      <c r="H34" s="30">
        <v>0.53</v>
      </c>
      <c r="I34" s="31"/>
      <c r="J34" s="31">
        <v>2017</v>
      </c>
      <c r="K34" s="31">
        <v>2017</v>
      </c>
      <c r="L34" s="76" t="s">
        <v>26</v>
      </c>
      <c r="M34" s="76" t="s">
        <v>26</v>
      </c>
      <c r="N34" s="122" t="s">
        <v>26</v>
      </c>
      <c r="O34" s="122" t="s">
        <v>26</v>
      </c>
      <c r="P34" s="302">
        <v>0</v>
      </c>
      <c r="Q34" s="302">
        <v>0</v>
      </c>
      <c r="R34" s="32">
        <f>(0.72+0.18)</f>
        <v>0.8999999999999999</v>
      </c>
      <c r="S34" s="34"/>
      <c r="T34" s="32">
        <f>(0.72+0.18)</f>
        <v>0.8999999999999999</v>
      </c>
      <c r="U34" s="31"/>
      <c r="V34" s="88" t="s">
        <v>47</v>
      </c>
      <c r="W34" s="88" t="s">
        <v>48</v>
      </c>
      <c r="X34" s="304" t="s">
        <v>33</v>
      </c>
      <c r="Y34" s="42"/>
      <c r="Z34" s="42"/>
      <c r="AA34" s="42"/>
      <c r="AB34" s="303"/>
    </row>
    <row r="35" spans="2:28" s="301" customFormat="1" ht="141.75">
      <c r="B35" s="145" t="s">
        <v>628</v>
      </c>
      <c r="C35" s="28" t="s">
        <v>629</v>
      </c>
      <c r="D35" s="31" t="s">
        <v>24</v>
      </c>
      <c r="E35" s="302" t="s">
        <v>49</v>
      </c>
      <c r="F35" s="30"/>
      <c r="G35" s="31"/>
      <c r="H35" s="30">
        <v>0.22</v>
      </c>
      <c r="I35" s="31"/>
      <c r="J35" s="31">
        <v>2017</v>
      </c>
      <c r="K35" s="31">
        <v>2017</v>
      </c>
      <c r="L35" s="76" t="s">
        <v>26</v>
      </c>
      <c r="M35" s="76" t="s">
        <v>26</v>
      </c>
      <c r="N35" s="122" t="s">
        <v>26</v>
      </c>
      <c r="O35" s="122" t="s">
        <v>26</v>
      </c>
      <c r="P35" s="302">
        <v>0</v>
      </c>
      <c r="Q35" s="302">
        <v>0</v>
      </c>
      <c r="R35" s="32">
        <f>0.3</f>
        <v>0.30000000000000004</v>
      </c>
      <c r="S35" s="34"/>
      <c r="T35" s="32">
        <f>0.3</f>
        <v>0.30000000000000004</v>
      </c>
      <c r="U35" s="31"/>
      <c r="V35" s="88" t="s">
        <v>35</v>
      </c>
      <c r="W35" s="88" t="s">
        <v>36</v>
      </c>
      <c r="X35" s="88" t="s">
        <v>37</v>
      </c>
      <c r="Y35" s="42"/>
      <c r="Z35" s="42"/>
      <c r="AA35" s="42"/>
      <c r="AB35" s="303"/>
    </row>
    <row r="36" spans="2:28" s="301" customFormat="1" ht="141.75">
      <c r="B36" s="145" t="s">
        <v>630</v>
      </c>
      <c r="C36" s="28" t="s">
        <v>631</v>
      </c>
      <c r="D36" s="31" t="s">
        <v>24</v>
      </c>
      <c r="E36" s="302" t="s">
        <v>50</v>
      </c>
      <c r="F36" s="30"/>
      <c r="G36" s="31"/>
      <c r="H36" s="30">
        <v>0.7</v>
      </c>
      <c r="I36" s="31"/>
      <c r="J36" s="31">
        <v>2017</v>
      </c>
      <c r="K36" s="31">
        <v>2017</v>
      </c>
      <c r="L36" s="76" t="s">
        <v>26</v>
      </c>
      <c r="M36" s="76" t="s">
        <v>26</v>
      </c>
      <c r="N36" s="122" t="s">
        <v>26</v>
      </c>
      <c r="O36" s="122" t="s">
        <v>26</v>
      </c>
      <c r="P36" s="302">
        <v>0</v>
      </c>
      <c r="Q36" s="302">
        <v>0</v>
      </c>
      <c r="R36" s="32">
        <f>0.96</f>
        <v>0.96</v>
      </c>
      <c r="S36" s="34"/>
      <c r="T36" s="32">
        <f>0.96</f>
        <v>0.96</v>
      </c>
      <c r="U36" s="31"/>
      <c r="V36" s="88" t="s">
        <v>35</v>
      </c>
      <c r="W36" s="88" t="s">
        <v>36</v>
      </c>
      <c r="X36" s="88" t="s">
        <v>37</v>
      </c>
      <c r="Y36" s="42"/>
      <c r="Z36" s="42"/>
      <c r="AA36" s="42"/>
      <c r="AB36" s="303"/>
    </row>
    <row r="37" spans="2:28" s="301" customFormat="1" ht="141.75">
      <c r="B37" s="145" t="s">
        <v>632</v>
      </c>
      <c r="C37" s="28" t="s">
        <v>633</v>
      </c>
      <c r="D37" s="31" t="s">
        <v>24</v>
      </c>
      <c r="E37" s="302" t="s">
        <v>50</v>
      </c>
      <c r="F37" s="30"/>
      <c r="G37" s="31"/>
      <c r="H37" s="30">
        <v>0.86</v>
      </c>
      <c r="I37" s="31"/>
      <c r="J37" s="31">
        <v>2017</v>
      </c>
      <c r="K37" s="31">
        <v>2017</v>
      </c>
      <c r="L37" s="76" t="s">
        <v>26</v>
      </c>
      <c r="M37" s="76" t="s">
        <v>26</v>
      </c>
      <c r="N37" s="122" t="s">
        <v>26</v>
      </c>
      <c r="O37" s="122" t="s">
        <v>26</v>
      </c>
      <c r="P37" s="302">
        <v>0</v>
      </c>
      <c r="Q37" s="302">
        <v>0</v>
      </c>
      <c r="R37" s="32">
        <f>1.06</f>
        <v>1.06</v>
      </c>
      <c r="S37" s="34"/>
      <c r="T37" s="32">
        <f>1.06</f>
        <v>1.06</v>
      </c>
      <c r="U37" s="31"/>
      <c r="V37" s="88" t="s">
        <v>35</v>
      </c>
      <c r="W37" s="88" t="s">
        <v>36</v>
      </c>
      <c r="X37" s="88" t="s">
        <v>37</v>
      </c>
      <c r="Y37" s="42"/>
      <c r="Z37" s="42"/>
      <c r="AA37" s="42"/>
      <c r="AB37" s="303"/>
    </row>
    <row r="38" spans="2:28" s="301" customFormat="1" ht="141.75">
      <c r="B38" s="145" t="s">
        <v>634</v>
      </c>
      <c r="C38" s="28" t="s">
        <v>635</v>
      </c>
      <c r="D38" s="31" t="s">
        <v>24</v>
      </c>
      <c r="E38" s="302" t="s">
        <v>38</v>
      </c>
      <c r="F38" s="30"/>
      <c r="G38" s="31"/>
      <c r="H38" s="30">
        <v>0.35</v>
      </c>
      <c r="I38" s="31"/>
      <c r="J38" s="31">
        <v>2017</v>
      </c>
      <c r="K38" s="31">
        <v>2017</v>
      </c>
      <c r="L38" s="76" t="s">
        <v>26</v>
      </c>
      <c r="M38" s="76" t="s">
        <v>26</v>
      </c>
      <c r="N38" s="122" t="s">
        <v>26</v>
      </c>
      <c r="O38" s="122" t="s">
        <v>26</v>
      </c>
      <c r="P38" s="302">
        <v>0</v>
      </c>
      <c r="Q38" s="302">
        <v>0</v>
      </c>
      <c r="R38" s="32">
        <f>0.42</f>
        <v>0.42</v>
      </c>
      <c r="S38" s="34"/>
      <c r="T38" s="32">
        <f>0.42</f>
        <v>0.42</v>
      </c>
      <c r="U38" s="31"/>
      <c r="V38" s="88" t="s">
        <v>35</v>
      </c>
      <c r="W38" s="88" t="s">
        <v>36</v>
      </c>
      <c r="X38" s="88" t="s">
        <v>37</v>
      </c>
      <c r="Y38" s="42"/>
      <c r="Z38" s="42"/>
      <c r="AA38" s="42"/>
      <c r="AB38" s="303"/>
    </row>
    <row r="39" spans="2:28" s="301" customFormat="1" ht="141.75">
      <c r="B39" s="145" t="s">
        <v>636</v>
      </c>
      <c r="C39" s="28" t="s">
        <v>637</v>
      </c>
      <c r="D39" s="31" t="s">
        <v>24</v>
      </c>
      <c r="E39" s="302" t="s">
        <v>38</v>
      </c>
      <c r="F39" s="30"/>
      <c r="G39" s="31"/>
      <c r="H39" s="30">
        <v>0.29</v>
      </c>
      <c r="I39" s="31"/>
      <c r="J39" s="31">
        <v>2017</v>
      </c>
      <c r="K39" s="31">
        <v>2017</v>
      </c>
      <c r="L39" s="76" t="s">
        <v>26</v>
      </c>
      <c r="M39" s="76" t="s">
        <v>26</v>
      </c>
      <c r="N39" s="122" t="s">
        <v>26</v>
      </c>
      <c r="O39" s="122" t="s">
        <v>26</v>
      </c>
      <c r="P39" s="302">
        <v>0</v>
      </c>
      <c r="Q39" s="302">
        <v>0</v>
      </c>
      <c r="R39" s="32">
        <f>0.4</f>
        <v>0.4</v>
      </c>
      <c r="S39" s="34"/>
      <c r="T39" s="32">
        <f>0.4</f>
        <v>0.4</v>
      </c>
      <c r="U39" s="31"/>
      <c r="V39" s="88" t="s">
        <v>35</v>
      </c>
      <c r="W39" s="88" t="s">
        <v>36</v>
      </c>
      <c r="X39" s="88" t="s">
        <v>37</v>
      </c>
      <c r="Y39" s="42"/>
      <c r="Z39" s="42"/>
      <c r="AA39" s="42"/>
      <c r="AB39" s="303"/>
    </row>
    <row r="40" spans="2:28" s="301" customFormat="1" ht="141.75">
      <c r="B40" s="145" t="s">
        <v>638</v>
      </c>
      <c r="C40" s="40" t="s">
        <v>640</v>
      </c>
      <c r="D40" s="31" t="s">
        <v>24</v>
      </c>
      <c r="E40" s="302" t="s">
        <v>52</v>
      </c>
      <c r="F40" s="30"/>
      <c r="G40" s="31"/>
      <c r="H40" s="31"/>
      <c r="I40" s="31"/>
      <c r="J40" s="31">
        <v>2018</v>
      </c>
      <c r="K40" s="31">
        <v>2018</v>
      </c>
      <c r="L40" s="76" t="s">
        <v>26</v>
      </c>
      <c r="M40" s="76" t="s">
        <v>26</v>
      </c>
      <c r="N40" s="122" t="s">
        <v>26</v>
      </c>
      <c r="O40" s="122" t="s">
        <v>26</v>
      </c>
      <c r="P40" s="302">
        <v>0</v>
      </c>
      <c r="Q40" s="302">
        <v>0</v>
      </c>
      <c r="R40" s="32">
        <f>1.27+0.134</f>
        <v>1.404</v>
      </c>
      <c r="S40" s="34"/>
      <c r="T40" s="32">
        <f>1.27+0.134</f>
        <v>1.404</v>
      </c>
      <c r="U40" s="31"/>
      <c r="V40" s="88" t="s">
        <v>35</v>
      </c>
      <c r="W40" s="88" t="s">
        <v>36</v>
      </c>
      <c r="X40" s="88" t="s">
        <v>37</v>
      </c>
      <c r="Y40" s="42"/>
      <c r="Z40" s="42"/>
      <c r="AA40" s="42"/>
      <c r="AB40" s="303"/>
    </row>
    <row r="41" spans="2:28" s="301" customFormat="1" ht="141.75">
      <c r="B41" s="145" t="s">
        <v>639</v>
      </c>
      <c r="C41" s="40" t="s">
        <v>642</v>
      </c>
      <c r="D41" s="31" t="s">
        <v>24</v>
      </c>
      <c r="E41" s="302" t="s">
        <v>51</v>
      </c>
      <c r="F41" s="30"/>
      <c r="G41" s="31"/>
      <c r="H41" s="31">
        <v>0.54</v>
      </c>
      <c r="I41" s="31"/>
      <c r="J41" s="31">
        <v>2018</v>
      </c>
      <c r="K41" s="31">
        <v>2018</v>
      </c>
      <c r="L41" s="76" t="s">
        <v>26</v>
      </c>
      <c r="M41" s="76" t="s">
        <v>26</v>
      </c>
      <c r="N41" s="122" t="s">
        <v>26</v>
      </c>
      <c r="O41" s="122" t="s">
        <v>26</v>
      </c>
      <c r="P41" s="302">
        <v>0</v>
      </c>
      <c r="Q41" s="302">
        <v>0</v>
      </c>
      <c r="R41" s="32">
        <f>0.28+0.014</f>
        <v>0.29400000000000004</v>
      </c>
      <c r="S41" s="34"/>
      <c r="T41" s="32">
        <f>0.28+0.014</f>
        <v>0.29400000000000004</v>
      </c>
      <c r="U41" s="31"/>
      <c r="V41" s="88" t="s">
        <v>35</v>
      </c>
      <c r="W41" s="88" t="s">
        <v>36</v>
      </c>
      <c r="X41" s="88" t="s">
        <v>37</v>
      </c>
      <c r="Y41" s="42"/>
      <c r="Z41" s="42"/>
      <c r="AA41" s="42"/>
      <c r="AB41" s="303"/>
    </row>
    <row r="42" spans="2:28" s="301" customFormat="1" ht="141.75">
      <c r="B42" s="145" t="s">
        <v>641</v>
      </c>
      <c r="C42" s="40" t="s">
        <v>96</v>
      </c>
      <c r="D42" s="31" t="s">
        <v>24</v>
      </c>
      <c r="E42" s="302" t="s">
        <v>34</v>
      </c>
      <c r="F42" s="30"/>
      <c r="G42" s="31"/>
      <c r="H42" s="30"/>
      <c r="I42" s="31"/>
      <c r="J42" s="31">
        <v>2018</v>
      </c>
      <c r="K42" s="31">
        <v>2018</v>
      </c>
      <c r="L42" s="76" t="s">
        <v>26</v>
      </c>
      <c r="M42" s="76" t="s">
        <v>26</v>
      </c>
      <c r="N42" s="122" t="s">
        <v>26</v>
      </c>
      <c r="O42" s="122" t="s">
        <v>26</v>
      </c>
      <c r="P42" s="302">
        <v>0</v>
      </c>
      <c r="Q42" s="302">
        <v>0</v>
      </c>
      <c r="R42" s="32">
        <f>1.09+0.111</f>
        <v>1.201</v>
      </c>
      <c r="S42" s="34"/>
      <c r="T42" s="32">
        <f>1.09+0.111</f>
        <v>1.201</v>
      </c>
      <c r="U42" s="31"/>
      <c r="V42" s="88" t="s">
        <v>35</v>
      </c>
      <c r="W42" s="88" t="s">
        <v>36</v>
      </c>
      <c r="X42" s="88" t="s">
        <v>37</v>
      </c>
      <c r="Y42" s="42"/>
      <c r="Z42" s="42"/>
      <c r="AA42" s="42"/>
      <c r="AB42" s="303"/>
    </row>
    <row r="43" spans="2:28" s="301" customFormat="1" ht="141.75">
      <c r="B43" s="145" t="s">
        <v>643</v>
      </c>
      <c r="C43" s="40" t="s">
        <v>645</v>
      </c>
      <c r="D43" s="31" t="s">
        <v>24</v>
      </c>
      <c r="E43" s="302" t="s">
        <v>51</v>
      </c>
      <c r="F43" s="31"/>
      <c r="G43" s="31"/>
      <c r="H43" s="31"/>
      <c r="I43" s="31"/>
      <c r="J43" s="31">
        <v>2018</v>
      </c>
      <c r="K43" s="31">
        <v>2018</v>
      </c>
      <c r="L43" s="76" t="s">
        <v>26</v>
      </c>
      <c r="M43" s="76" t="s">
        <v>26</v>
      </c>
      <c r="N43" s="122" t="s">
        <v>26</v>
      </c>
      <c r="O43" s="122" t="s">
        <v>26</v>
      </c>
      <c r="P43" s="302">
        <v>0</v>
      </c>
      <c r="Q43" s="302">
        <v>0</v>
      </c>
      <c r="R43" s="32">
        <f>7.96+0.71+0.545</f>
        <v>9.215</v>
      </c>
      <c r="S43" s="34"/>
      <c r="T43" s="32">
        <f>7.96+0.71+0.545</f>
        <v>9.215</v>
      </c>
      <c r="U43" s="31"/>
      <c r="V43" s="88" t="s">
        <v>35</v>
      </c>
      <c r="W43" s="88" t="s">
        <v>36</v>
      </c>
      <c r="X43" s="88" t="s">
        <v>37</v>
      </c>
      <c r="Y43" s="42"/>
      <c r="Z43" s="42"/>
      <c r="AA43" s="42"/>
      <c r="AB43" s="303"/>
    </row>
    <row r="44" spans="2:28" s="301" customFormat="1" ht="141.75">
      <c r="B44" s="145" t="s">
        <v>644</v>
      </c>
      <c r="C44" s="40" t="s">
        <v>647</v>
      </c>
      <c r="D44" s="31" t="s">
        <v>24</v>
      </c>
      <c r="E44" s="302" t="s">
        <v>34</v>
      </c>
      <c r="F44" s="31"/>
      <c r="G44" s="31"/>
      <c r="H44" s="31"/>
      <c r="I44" s="31"/>
      <c r="J44" s="31">
        <v>2018</v>
      </c>
      <c r="K44" s="31">
        <v>2018</v>
      </c>
      <c r="L44" s="76" t="s">
        <v>26</v>
      </c>
      <c r="M44" s="76" t="s">
        <v>26</v>
      </c>
      <c r="N44" s="122" t="s">
        <v>26</v>
      </c>
      <c r="O44" s="122" t="s">
        <v>26</v>
      </c>
      <c r="P44" s="302">
        <v>0</v>
      </c>
      <c r="Q44" s="302">
        <v>0</v>
      </c>
      <c r="R44" s="32">
        <f>8.36+1.05+4.25+0.54</f>
        <v>14.2</v>
      </c>
      <c r="S44" s="34"/>
      <c r="T44" s="32">
        <f>8.36+1.05+4.25+0.54</f>
        <v>14.2</v>
      </c>
      <c r="U44" s="31"/>
      <c r="V44" s="88" t="s">
        <v>35</v>
      </c>
      <c r="W44" s="88" t="s">
        <v>36</v>
      </c>
      <c r="X44" s="88" t="s">
        <v>37</v>
      </c>
      <c r="Y44" s="42"/>
      <c r="Z44" s="42"/>
      <c r="AA44" s="42"/>
      <c r="AB44" s="303"/>
    </row>
    <row r="45" spans="2:28" s="301" customFormat="1" ht="141.75">
      <c r="B45" s="145" t="s">
        <v>646</v>
      </c>
      <c r="C45" s="40" t="s">
        <v>649</v>
      </c>
      <c r="D45" s="31" t="s">
        <v>24</v>
      </c>
      <c r="E45" s="302" t="s">
        <v>51</v>
      </c>
      <c r="F45" s="31">
        <v>20</v>
      </c>
      <c r="G45" s="31"/>
      <c r="H45" s="31"/>
      <c r="I45" s="31"/>
      <c r="J45" s="31">
        <v>2018</v>
      </c>
      <c r="K45" s="31">
        <v>2018</v>
      </c>
      <c r="L45" s="76" t="s">
        <v>26</v>
      </c>
      <c r="M45" s="76" t="s">
        <v>26</v>
      </c>
      <c r="N45" s="122" t="s">
        <v>26</v>
      </c>
      <c r="O45" s="122" t="s">
        <v>26</v>
      </c>
      <c r="P45" s="302">
        <v>0</v>
      </c>
      <c r="Q45" s="302">
        <v>0</v>
      </c>
      <c r="R45" s="32">
        <f>5.61+35.17+0.525</f>
        <v>41.305</v>
      </c>
      <c r="S45" s="34"/>
      <c r="T45" s="32">
        <f>5.61+35.17+0.525</f>
        <v>41.305</v>
      </c>
      <c r="U45" s="31"/>
      <c r="V45" s="88" t="s">
        <v>35</v>
      </c>
      <c r="W45" s="88" t="s">
        <v>36</v>
      </c>
      <c r="X45" s="88" t="s">
        <v>37</v>
      </c>
      <c r="Y45" s="42"/>
      <c r="Z45" s="42"/>
      <c r="AA45" s="42"/>
      <c r="AB45" s="303"/>
    </row>
    <row r="46" spans="2:28" s="301" customFormat="1" ht="94.5">
      <c r="B46" s="145" t="s">
        <v>648</v>
      </c>
      <c r="C46" s="40" t="s">
        <v>651</v>
      </c>
      <c r="D46" s="302" t="s">
        <v>24</v>
      </c>
      <c r="E46" s="302" t="s">
        <v>51</v>
      </c>
      <c r="F46" s="31"/>
      <c r="G46" s="29"/>
      <c r="H46" s="31"/>
      <c r="I46" s="310"/>
      <c r="J46" s="31">
        <v>2018</v>
      </c>
      <c r="K46" s="31">
        <v>2018</v>
      </c>
      <c r="L46" s="76" t="s">
        <v>26</v>
      </c>
      <c r="M46" s="76" t="s">
        <v>26</v>
      </c>
      <c r="N46" s="122" t="s">
        <v>26</v>
      </c>
      <c r="O46" s="122" t="s">
        <v>26</v>
      </c>
      <c r="P46" s="302">
        <v>0</v>
      </c>
      <c r="Q46" s="302">
        <v>0</v>
      </c>
      <c r="R46" s="32">
        <f>6.25+1.01</f>
        <v>7.26</v>
      </c>
      <c r="S46" s="311"/>
      <c r="T46" s="32">
        <f>6.25+1.01</f>
        <v>7.26</v>
      </c>
      <c r="U46" s="310"/>
      <c r="V46" s="88" t="s">
        <v>53</v>
      </c>
      <c r="W46" s="304" t="s">
        <v>54</v>
      </c>
      <c r="X46" s="88" t="s">
        <v>29</v>
      </c>
      <c r="Y46" s="42"/>
      <c r="Z46" s="42"/>
      <c r="AA46" s="42"/>
      <c r="AB46" s="303"/>
    </row>
    <row r="47" spans="2:28" s="301" customFormat="1" ht="141.75">
      <c r="B47" s="145" t="s">
        <v>650</v>
      </c>
      <c r="C47" s="28" t="s">
        <v>653</v>
      </c>
      <c r="D47" s="31" t="s">
        <v>24</v>
      </c>
      <c r="E47" s="31" t="s">
        <v>55</v>
      </c>
      <c r="F47" s="30"/>
      <c r="G47" s="31"/>
      <c r="H47" s="30"/>
      <c r="I47" s="31"/>
      <c r="J47" s="31">
        <v>2018</v>
      </c>
      <c r="K47" s="31">
        <v>2018</v>
      </c>
      <c r="L47" s="76" t="s">
        <v>26</v>
      </c>
      <c r="M47" s="76" t="s">
        <v>26</v>
      </c>
      <c r="N47" s="122" t="s">
        <v>26</v>
      </c>
      <c r="O47" s="122" t="s">
        <v>26</v>
      </c>
      <c r="P47" s="302">
        <v>0</v>
      </c>
      <c r="Q47" s="302">
        <v>0</v>
      </c>
      <c r="R47" s="32">
        <f>6.71+0.295</f>
        <v>7.005</v>
      </c>
      <c r="S47" s="34"/>
      <c r="T47" s="32">
        <f>6.71+0.295</f>
        <v>7.005</v>
      </c>
      <c r="U47" s="31"/>
      <c r="V47" s="88" t="s">
        <v>47</v>
      </c>
      <c r="W47" s="88" t="s">
        <v>48</v>
      </c>
      <c r="X47" s="304" t="s">
        <v>33</v>
      </c>
      <c r="Y47" s="42"/>
      <c r="Z47" s="42"/>
      <c r="AA47" s="42"/>
      <c r="AB47" s="303"/>
    </row>
    <row r="48" spans="2:28" s="301" customFormat="1" ht="126">
      <c r="B48" s="145" t="s">
        <v>652</v>
      </c>
      <c r="C48" s="28" t="s">
        <v>655</v>
      </c>
      <c r="D48" s="31" t="s">
        <v>24</v>
      </c>
      <c r="E48" s="31" t="s">
        <v>56</v>
      </c>
      <c r="F48" s="30">
        <v>0</v>
      </c>
      <c r="G48" s="31"/>
      <c r="H48" s="30"/>
      <c r="I48" s="31"/>
      <c r="J48" s="31">
        <v>2018</v>
      </c>
      <c r="K48" s="31">
        <v>2018</v>
      </c>
      <c r="L48" s="76" t="s">
        <v>26</v>
      </c>
      <c r="M48" s="76" t="s">
        <v>26</v>
      </c>
      <c r="N48" s="122" t="s">
        <v>26</v>
      </c>
      <c r="O48" s="122" t="s">
        <v>26</v>
      </c>
      <c r="P48" s="302">
        <v>0</v>
      </c>
      <c r="Q48" s="302">
        <v>0</v>
      </c>
      <c r="R48" s="32">
        <f>1.29+6.05+0.28</f>
        <v>7.62</v>
      </c>
      <c r="S48" s="34"/>
      <c r="T48" s="32">
        <f>1.29+6.05+0.28</f>
        <v>7.62</v>
      </c>
      <c r="U48" s="31"/>
      <c r="V48" s="88" t="s">
        <v>42</v>
      </c>
      <c r="W48" s="88" t="s">
        <v>43</v>
      </c>
      <c r="X48" s="309" t="s">
        <v>44</v>
      </c>
      <c r="Y48" s="42"/>
      <c r="Z48" s="42"/>
      <c r="AA48" s="42"/>
      <c r="AB48" s="303"/>
    </row>
    <row r="49" spans="2:28" s="301" customFormat="1" ht="157.5">
      <c r="B49" s="145" t="s">
        <v>654</v>
      </c>
      <c r="C49" s="28" t="s">
        <v>657</v>
      </c>
      <c r="D49" s="302" t="s">
        <v>24</v>
      </c>
      <c r="E49" s="302" t="s">
        <v>57</v>
      </c>
      <c r="F49" s="30">
        <v>0</v>
      </c>
      <c r="G49" s="305"/>
      <c r="H49" s="30"/>
      <c r="I49" s="306"/>
      <c r="J49" s="31">
        <v>2018</v>
      </c>
      <c r="K49" s="31">
        <v>2018</v>
      </c>
      <c r="L49" s="76" t="s">
        <v>26</v>
      </c>
      <c r="M49" s="76" t="s">
        <v>26</v>
      </c>
      <c r="N49" s="122" t="s">
        <v>26</v>
      </c>
      <c r="O49" s="122" t="s">
        <v>26</v>
      </c>
      <c r="P49" s="302">
        <v>0</v>
      </c>
      <c r="Q49" s="302">
        <v>0</v>
      </c>
      <c r="R49" s="32">
        <f>0.28+4.04+0.21</f>
        <v>4.53</v>
      </c>
      <c r="S49" s="307"/>
      <c r="T49" s="32">
        <f>0.28+4.04+0.21</f>
        <v>4.53</v>
      </c>
      <c r="U49" s="306"/>
      <c r="V49" s="88" t="s">
        <v>31</v>
      </c>
      <c r="W49" s="88" t="s">
        <v>32</v>
      </c>
      <c r="X49" s="304" t="s">
        <v>33</v>
      </c>
      <c r="Y49" s="42"/>
      <c r="Z49" s="42"/>
      <c r="AA49" s="42"/>
      <c r="AB49" s="303"/>
    </row>
    <row r="50" spans="2:28" s="301" customFormat="1" ht="157.5">
      <c r="B50" s="145" t="s">
        <v>656</v>
      </c>
      <c r="C50" s="28" t="s">
        <v>659</v>
      </c>
      <c r="D50" s="302" t="s">
        <v>24</v>
      </c>
      <c r="E50" s="302" t="s">
        <v>58</v>
      </c>
      <c r="F50" s="30">
        <v>0</v>
      </c>
      <c r="G50" s="305"/>
      <c r="H50" s="30"/>
      <c r="I50" s="306"/>
      <c r="J50" s="31">
        <v>2018</v>
      </c>
      <c r="K50" s="31">
        <v>2018</v>
      </c>
      <c r="L50" s="76" t="s">
        <v>26</v>
      </c>
      <c r="M50" s="76" t="s">
        <v>26</v>
      </c>
      <c r="N50" s="122" t="s">
        <v>26</v>
      </c>
      <c r="O50" s="122" t="s">
        <v>26</v>
      </c>
      <c r="P50" s="302">
        <v>0</v>
      </c>
      <c r="Q50" s="302">
        <v>0</v>
      </c>
      <c r="R50" s="32">
        <f>4.56+5.53+0.29</f>
        <v>10.379999999999999</v>
      </c>
      <c r="S50" s="307"/>
      <c r="T50" s="32">
        <f>4.56+5.53+0.29</f>
        <v>10.379999999999999</v>
      </c>
      <c r="U50" s="306"/>
      <c r="V50" s="88" t="s">
        <v>31</v>
      </c>
      <c r="W50" s="88" t="s">
        <v>32</v>
      </c>
      <c r="X50" s="304" t="s">
        <v>33</v>
      </c>
      <c r="Y50" s="42"/>
      <c r="Z50" s="42"/>
      <c r="AA50" s="42"/>
      <c r="AB50" s="303"/>
    </row>
    <row r="51" spans="2:28" s="301" customFormat="1" ht="157.5">
      <c r="B51" s="145" t="s">
        <v>658</v>
      </c>
      <c r="C51" s="28" t="s">
        <v>661</v>
      </c>
      <c r="D51" s="31" t="s">
        <v>24</v>
      </c>
      <c r="E51" s="31" t="s">
        <v>59</v>
      </c>
      <c r="F51" s="30"/>
      <c r="G51" s="31"/>
      <c r="H51" s="30"/>
      <c r="I51" s="31"/>
      <c r="J51" s="31">
        <v>2018</v>
      </c>
      <c r="K51" s="31">
        <v>2018</v>
      </c>
      <c r="L51" s="76" t="s">
        <v>26</v>
      </c>
      <c r="M51" s="76" t="s">
        <v>26</v>
      </c>
      <c r="N51" s="122" t="s">
        <v>26</v>
      </c>
      <c r="O51" s="122" t="s">
        <v>26</v>
      </c>
      <c r="P51" s="302">
        <v>0</v>
      </c>
      <c r="Q51" s="302">
        <v>0</v>
      </c>
      <c r="R51" s="32">
        <f>1.01+0.051</f>
        <v>1.061</v>
      </c>
      <c r="S51" s="307"/>
      <c r="T51" s="32">
        <f>1.01+0.051</f>
        <v>1.061</v>
      </c>
      <c r="U51" s="31"/>
      <c r="V51" s="88" t="s">
        <v>31</v>
      </c>
      <c r="W51" s="88" t="s">
        <v>32</v>
      </c>
      <c r="X51" s="304" t="s">
        <v>33</v>
      </c>
      <c r="Y51" s="42"/>
      <c r="Z51" s="42"/>
      <c r="AA51" s="42"/>
      <c r="AB51" s="303"/>
    </row>
    <row r="52" spans="2:28" s="301" customFormat="1" ht="157.5">
      <c r="B52" s="145" t="s">
        <v>660</v>
      </c>
      <c r="C52" s="28" t="s">
        <v>663</v>
      </c>
      <c r="D52" s="31" t="s">
        <v>24</v>
      </c>
      <c r="E52" s="31" t="s">
        <v>60</v>
      </c>
      <c r="F52" s="30"/>
      <c r="G52" s="31"/>
      <c r="H52" s="30"/>
      <c r="I52" s="31"/>
      <c r="J52" s="31">
        <v>2018</v>
      </c>
      <c r="K52" s="31">
        <v>2018</v>
      </c>
      <c r="L52" s="76" t="s">
        <v>26</v>
      </c>
      <c r="M52" s="76" t="s">
        <v>26</v>
      </c>
      <c r="N52" s="122" t="s">
        <v>26</v>
      </c>
      <c r="O52" s="122" t="s">
        <v>26</v>
      </c>
      <c r="P52" s="302">
        <v>0</v>
      </c>
      <c r="Q52" s="302">
        <v>0</v>
      </c>
      <c r="R52" s="32">
        <f>1.01+0.051</f>
        <v>1.061</v>
      </c>
      <c r="S52" s="34"/>
      <c r="T52" s="32">
        <f>1.01+0.051</f>
        <v>1.061</v>
      </c>
      <c r="U52" s="31"/>
      <c r="V52" s="88" t="s">
        <v>31</v>
      </c>
      <c r="W52" s="88" t="s">
        <v>32</v>
      </c>
      <c r="X52" s="304" t="s">
        <v>33</v>
      </c>
      <c r="Y52" s="42"/>
      <c r="Z52" s="42"/>
      <c r="AA52" s="42"/>
      <c r="AB52" s="303"/>
    </row>
    <row r="53" spans="2:28" s="301" customFormat="1" ht="141.75">
      <c r="B53" s="145" t="s">
        <v>662</v>
      </c>
      <c r="C53" s="28" t="s">
        <v>665</v>
      </c>
      <c r="D53" s="302" t="s">
        <v>24</v>
      </c>
      <c r="E53" s="31" t="s">
        <v>39</v>
      </c>
      <c r="F53" s="30">
        <v>2</v>
      </c>
      <c r="G53" s="305"/>
      <c r="H53" s="30"/>
      <c r="I53" s="306"/>
      <c r="J53" s="31">
        <v>2018</v>
      </c>
      <c r="K53" s="31">
        <v>2018</v>
      </c>
      <c r="L53" s="76" t="s">
        <v>26</v>
      </c>
      <c r="M53" s="76" t="s">
        <v>26</v>
      </c>
      <c r="N53" s="122" t="s">
        <v>26</v>
      </c>
      <c r="O53" s="122" t="s">
        <v>26</v>
      </c>
      <c r="P53" s="302">
        <v>0</v>
      </c>
      <c r="Q53" s="302">
        <v>0</v>
      </c>
      <c r="R53" s="32">
        <f>1.51+0.09</f>
        <v>1.6</v>
      </c>
      <c r="S53" s="307"/>
      <c r="T53" s="32">
        <f>1.51+0.09</f>
        <v>1.6</v>
      </c>
      <c r="U53" s="306"/>
      <c r="V53" s="88" t="s">
        <v>35</v>
      </c>
      <c r="W53" s="88" t="s">
        <v>36</v>
      </c>
      <c r="X53" s="88" t="s">
        <v>37</v>
      </c>
      <c r="Y53" s="42"/>
      <c r="Z53" s="42"/>
      <c r="AA53" s="42"/>
      <c r="AB53" s="303"/>
    </row>
    <row r="54" spans="2:28" s="301" customFormat="1" ht="157.5">
      <c r="B54" s="145" t="s">
        <v>664</v>
      </c>
      <c r="C54" s="28" t="s">
        <v>667</v>
      </c>
      <c r="D54" s="31" t="s">
        <v>24</v>
      </c>
      <c r="E54" s="31" t="s">
        <v>39</v>
      </c>
      <c r="F54" s="30">
        <v>2</v>
      </c>
      <c r="G54" s="31"/>
      <c r="H54" s="30"/>
      <c r="I54" s="31"/>
      <c r="J54" s="31">
        <v>2018</v>
      </c>
      <c r="K54" s="31">
        <v>2018</v>
      </c>
      <c r="L54" s="76" t="s">
        <v>26</v>
      </c>
      <c r="M54" s="76" t="s">
        <v>26</v>
      </c>
      <c r="N54" s="122" t="s">
        <v>26</v>
      </c>
      <c r="O54" s="122" t="s">
        <v>26</v>
      </c>
      <c r="P54" s="302">
        <v>0</v>
      </c>
      <c r="Q54" s="302">
        <v>0</v>
      </c>
      <c r="R54" s="32">
        <f>1.51+0.09</f>
        <v>1.6</v>
      </c>
      <c r="S54" s="307"/>
      <c r="T54" s="32">
        <f>1.51+0.09</f>
        <v>1.6</v>
      </c>
      <c r="U54" s="31"/>
      <c r="V54" s="88" t="s">
        <v>31</v>
      </c>
      <c r="W54" s="88" t="s">
        <v>32</v>
      </c>
      <c r="X54" s="304" t="s">
        <v>33</v>
      </c>
      <c r="Y54" s="42"/>
      <c r="Z54" s="42"/>
      <c r="AA54" s="42"/>
      <c r="AB54" s="303"/>
    </row>
    <row r="55" spans="2:28" s="301" customFormat="1" ht="157.5">
      <c r="B55" s="145" t="s">
        <v>666</v>
      </c>
      <c r="C55" s="28" t="s">
        <v>669</v>
      </c>
      <c r="D55" s="31" t="s">
        <v>24</v>
      </c>
      <c r="E55" s="302" t="s">
        <v>51</v>
      </c>
      <c r="F55" s="30">
        <v>0.4</v>
      </c>
      <c r="G55" s="31"/>
      <c r="H55" s="30"/>
      <c r="I55" s="31"/>
      <c r="J55" s="31">
        <v>2018</v>
      </c>
      <c r="K55" s="31">
        <v>2018</v>
      </c>
      <c r="L55" s="76" t="s">
        <v>26</v>
      </c>
      <c r="M55" s="76" t="s">
        <v>26</v>
      </c>
      <c r="N55" s="122" t="s">
        <v>26</v>
      </c>
      <c r="O55" s="122" t="s">
        <v>26</v>
      </c>
      <c r="P55" s="302">
        <v>0</v>
      </c>
      <c r="Q55" s="302">
        <v>0</v>
      </c>
      <c r="R55" s="32">
        <f>0.87+0.1</f>
        <v>0.97</v>
      </c>
      <c r="S55" s="307"/>
      <c r="T55" s="32">
        <f>0.87+0.1</f>
        <v>0.97</v>
      </c>
      <c r="U55" s="31"/>
      <c r="V55" s="88" t="s">
        <v>31</v>
      </c>
      <c r="W55" s="88" t="s">
        <v>32</v>
      </c>
      <c r="X55" s="304" t="s">
        <v>33</v>
      </c>
      <c r="Y55" s="42"/>
      <c r="Z55" s="42"/>
      <c r="AA55" s="42"/>
      <c r="AB55" s="303"/>
    </row>
    <row r="56" spans="2:28" s="301" customFormat="1" ht="157.5">
      <c r="B56" s="145" t="s">
        <v>668</v>
      </c>
      <c r="C56" s="28" t="s">
        <v>671</v>
      </c>
      <c r="D56" s="31" t="s">
        <v>24</v>
      </c>
      <c r="E56" s="302" t="s">
        <v>51</v>
      </c>
      <c r="F56" s="30">
        <v>0.4</v>
      </c>
      <c r="G56" s="31"/>
      <c r="H56" s="30"/>
      <c r="I56" s="31"/>
      <c r="J56" s="31">
        <v>2018</v>
      </c>
      <c r="K56" s="31">
        <v>2018</v>
      </c>
      <c r="L56" s="76" t="s">
        <v>26</v>
      </c>
      <c r="M56" s="76" t="s">
        <v>26</v>
      </c>
      <c r="N56" s="122" t="s">
        <v>26</v>
      </c>
      <c r="O56" s="122" t="s">
        <v>26</v>
      </c>
      <c r="P56" s="302">
        <v>0</v>
      </c>
      <c r="Q56" s="302">
        <v>0</v>
      </c>
      <c r="R56" s="32">
        <f>0.83+0.096</f>
        <v>0.9259999999999999</v>
      </c>
      <c r="S56" s="307"/>
      <c r="T56" s="32">
        <f>0.83+0.096</f>
        <v>0.9259999999999999</v>
      </c>
      <c r="U56" s="31"/>
      <c r="V56" s="88" t="s">
        <v>31</v>
      </c>
      <c r="W56" s="88" t="s">
        <v>32</v>
      </c>
      <c r="X56" s="304" t="s">
        <v>33</v>
      </c>
      <c r="Y56" s="42"/>
      <c r="Z56" s="42"/>
      <c r="AA56" s="42"/>
      <c r="AB56" s="303"/>
    </row>
    <row r="57" spans="2:28" s="301" customFormat="1" ht="157.5">
      <c r="B57" s="145" t="s">
        <v>670</v>
      </c>
      <c r="C57" s="28" t="s">
        <v>673</v>
      </c>
      <c r="D57" s="31" t="s">
        <v>24</v>
      </c>
      <c r="E57" s="302" t="s">
        <v>51</v>
      </c>
      <c r="F57" s="30">
        <v>0.25</v>
      </c>
      <c r="G57" s="31"/>
      <c r="H57" s="30"/>
      <c r="I57" s="31"/>
      <c r="J57" s="31">
        <v>2018</v>
      </c>
      <c r="K57" s="31">
        <v>2018</v>
      </c>
      <c r="L57" s="76" t="s">
        <v>26</v>
      </c>
      <c r="M57" s="76" t="s">
        <v>26</v>
      </c>
      <c r="N57" s="122" t="s">
        <v>26</v>
      </c>
      <c r="O57" s="122" t="s">
        <v>26</v>
      </c>
      <c r="P57" s="302">
        <v>0</v>
      </c>
      <c r="Q57" s="302">
        <v>0</v>
      </c>
      <c r="R57" s="32">
        <f>0.72+0.083</f>
        <v>0.8029999999999999</v>
      </c>
      <c r="S57" s="307"/>
      <c r="T57" s="32">
        <f>0.72+0.083</f>
        <v>0.8029999999999999</v>
      </c>
      <c r="U57" s="31"/>
      <c r="V57" s="88" t="s">
        <v>31</v>
      </c>
      <c r="W57" s="88" t="s">
        <v>32</v>
      </c>
      <c r="X57" s="304" t="s">
        <v>33</v>
      </c>
      <c r="Y57" s="42"/>
      <c r="Z57" s="42"/>
      <c r="AA57" s="42"/>
      <c r="AB57" s="303"/>
    </row>
    <row r="58" spans="2:28" s="301" customFormat="1" ht="157.5">
      <c r="B58" s="145" t="s">
        <v>672</v>
      </c>
      <c r="C58" s="28" t="s">
        <v>675</v>
      </c>
      <c r="D58" s="31" t="s">
        <v>24</v>
      </c>
      <c r="E58" s="302" t="s">
        <v>61</v>
      </c>
      <c r="F58" s="30">
        <v>0.63</v>
      </c>
      <c r="G58" s="31"/>
      <c r="H58" s="30"/>
      <c r="I58" s="31"/>
      <c r="J58" s="31">
        <v>2018</v>
      </c>
      <c r="K58" s="31">
        <v>2018</v>
      </c>
      <c r="L58" s="76" t="s">
        <v>26</v>
      </c>
      <c r="M58" s="76" t="s">
        <v>26</v>
      </c>
      <c r="N58" s="122" t="s">
        <v>26</v>
      </c>
      <c r="O58" s="122" t="s">
        <v>26</v>
      </c>
      <c r="P58" s="302">
        <v>0</v>
      </c>
      <c r="Q58" s="302">
        <v>0</v>
      </c>
      <c r="R58" s="32">
        <f>1.01+0.06</f>
        <v>1.07</v>
      </c>
      <c r="S58" s="307"/>
      <c r="T58" s="32">
        <f>1.01+0.06</f>
        <v>1.07</v>
      </c>
      <c r="U58" s="31"/>
      <c r="V58" s="88" t="s">
        <v>31</v>
      </c>
      <c r="W58" s="88" t="s">
        <v>32</v>
      </c>
      <c r="X58" s="304" t="s">
        <v>33</v>
      </c>
      <c r="Y58" s="42"/>
      <c r="Z58" s="42"/>
      <c r="AA58" s="42"/>
      <c r="AB58" s="303"/>
    </row>
    <row r="59" spans="2:28" s="301" customFormat="1" ht="141.75">
      <c r="B59" s="145" t="s">
        <v>674</v>
      </c>
      <c r="C59" s="28" t="s">
        <v>677</v>
      </c>
      <c r="D59" s="302" t="s">
        <v>24</v>
      </c>
      <c r="E59" s="302" t="s">
        <v>62</v>
      </c>
      <c r="F59" s="30"/>
      <c r="G59" s="29"/>
      <c r="H59" s="149">
        <v>0.34</v>
      </c>
      <c r="I59" s="308"/>
      <c r="J59" s="31">
        <v>2018</v>
      </c>
      <c r="K59" s="31">
        <v>2018</v>
      </c>
      <c r="L59" s="76" t="s">
        <v>26</v>
      </c>
      <c r="M59" s="76" t="s">
        <v>26</v>
      </c>
      <c r="N59" s="122" t="s">
        <v>26</v>
      </c>
      <c r="O59" s="122" t="s">
        <v>26</v>
      </c>
      <c r="P59" s="302">
        <v>0</v>
      </c>
      <c r="Q59" s="302">
        <v>0</v>
      </c>
      <c r="R59" s="32">
        <f>0.35+0.054</f>
        <v>0.40399999999999997</v>
      </c>
      <c r="S59" s="307"/>
      <c r="T59" s="32">
        <f>0.35+0.054</f>
        <v>0.40399999999999997</v>
      </c>
      <c r="U59" s="306"/>
      <c r="V59" s="88" t="s">
        <v>35</v>
      </c>
      <c r="W59" s="88" t="s">
        <v>36</v>
      </c>
      <c r="X59" s="88" t="s">
        <v>37</v>
      </c>
      <c r="Y59" s="42"/>
      <c r="Z59" s="42"/>
      <c r="AA59" s="42"/>
      <c r="AB59" s="303"/>
    </row>
    <row r="60" spans="2:28" s="301" customFormat="1" ht="141.75">
      <c r="B60" s="145" t="s">
        <v>676</v>
      </c>
      <c r="C60" s="40" t="s">
        <v>679</v>
      </c>
      <c r="D60" s="302" t="s">
        <v>24</v>
      </c>
      <c r="E60" s="302" t="s">
        <v>63</v>
      </c>
      <c r="F60" s="30"/>
      <c r="G60" s="29"/>
      <c r="H60" s="149">
        <v>0.05</v>
      </c>
      <c r="I60" s="308"/>
      <c r="J60" s="31">
        <v>2018</v>
      </c>
      <c r="K60" s="31">
        <v>2018</v>
      </c>
      <c r="L60" s="76" t="s">
        <v>26</v>
      </c>
      <c r="M60" s="76" t="s">
        <v>26</v>
      </c>
      <c r="N60" s="122" t="s">
        <v>26</v>
      </c>
      <c r="O60" s="122" t="s">
        <v>26</v>
      </c>
      <c r="P60" s="302">
        <v>0</v>
      </c>
      <c r="Q60" s="302">
        <v>0</v>
      </c>
      <c r="R60" s="32">
        <f>0.11+0.017</f>
        <v>0.127</v>
      </c>
      <c r="S60" s="307"/>
      <c r="T60" s="32">
        <f>0.11+0.017</f>
        <v>0.127</v>
      </c>
      <c r="U60" s="306"/>
      <c r="V60" s="88" t="s">
        <v>35</v>
      </c>
      <c r="W60" s="88" t="s">
        <v>36</v>
      </c>
      <c r="X60" s="88" t="s">
        <v>37</v>
      </c>
      <c r="Y60" s="42"/>
      <c r="Z60" s="42"/>
      <c r="AA60" s="42"/>
      <c r="AB60" s="303"/>
    </row>
    <row r="61" spans="2:28" s="301" customFormat="1" ht="141.75">
      <c r="B61" s="145" t="s">
        <v>678</v>
      </c>
      <c r="C61" s="40" t="s">
        <v>681</v>
      </c>
      <c r="D61" s="31" t="s">
        <v>24</v>
      </c>
      <c r="E61" s="302" t="s">
        <v>64</v>
      </c>
      <c r="F61" s="30"/>
      <c r="G61" s="31"/>
      <c r="H61" s="149">
        <v>0.04</v>
      </c>
      <c r="I61" s="31"/>
      <c r="J61" s="31">
        <v>2018</v>
      </c>
      <c r="K61" s="31">
        <v>2018</v>
      </c>
      <c r="L61" s="76" t="s">
        <v>26</v>
      </c>
      <c r="M61" s="76" t="s">
        <v>26</v>
      </c>
      <c r="N61" s="122" t="s">
        <v>26</v>
      </c>
      <c r="O61" s="122" t="s">
        <v>26</v>
      </c>
      <c r="P61" s="302">
        <v>0</v>
      </c>
      <c r="Q61" s="302">
        <v>0</v>
      </c>
      <c r="R61" s="32">
        <f>0.26+0.04</f>
        <v>0.3</v>
      </c>
      <c r="S61" s="307"/>
      <c r="T61" s="32">
        <f>0.26+0.04</f>
        <v>0.3</v>
      </c>
      <c r="U61" s="306"/>
      <c r="V61" s="88" t="s">
        <v>35</v>
      </c>
      <c r="W61" s="88" t="s">
        <v>36</v>
      </c>
      <c r="X61" s="88" t="s">
        <v>37</v>
      </c>
      <c r="Y61" s="42"/>
      <c r="Z61" s="42"/>
      <c r="AA61" s="42"/>
      <c r="AB61" s="303"/>
    </row>
    <row r="62" spans="2:28" s="301" customFormat="1" ht="141.75">
      <c r="B62" s="145" t="s">
        <v>680</v>
      </c>
      <c r="C62" s="40" t="s">
        <v>683</v>
      </c>
      <c r="D62" s="31" t="s">
        <v>24</v>
      </c>
      <c r="E62" s="302" t="s">
        <v>64</v>
      </c>
      <c r="F62" s="30"/>
      <c r="G62" s="31"/>
      <c r="H62" s="149">
        <v>0.16</v>
      </c>
      <c r="I62" s="31"/>
      <c r="J62" s="31">
        <v>2018</v>
      </c>
      <c r="K62" s="31">
        <v>2018</v>
      </c>
      <c r="L62" s="76" t="s">
        <v>26</v>
      </c>
      <c r="M62" s="76" t="s">
        <v>26</v>
      </c>
      <c r="N62" s="122" t="s">
        <v>26</v>
      </c>
      <c r="O62" s="122" t="s">
        <v>26</v>
      </c>
      <c r="P62" s="302">
        <v>0</v>
      </c>
      <c r="Q62" s="302">
        <v>0</v>
      </c>
      <c r="R62" s="32">
        <f>0.23+0.035</f>
        <v>0.265</v>
      </c>
      <c r="S62" s="307"/>
      <c r="T62" s="32">
        <f>0.23+0.035</f>
        <v>0.265</v>
      </c>
      <c r="U62" s="306"/>
      <c r="V62" s="88" t="s">
        <v>35</v>
      </c>
      <c r="W62" s="88" t="s">
        <v>36</v>
      </c>
      <c r="X62" s="88" t="s">
        <v>37</v>
      </c>
      <c r="Y62" s="42"/>
      <c r="Z62" s="42"/>
      <c r="AA62" s="42"/>
      <c r="AB62" s="303"/>
    </row>
    <row r="63" spans="2:28" s="301" customFormat="1" ht="141.75">
      <c r="B63" s="145" t="s">
        <v>682</v>
      </c>
      <c r="C63" s="40" t="s">
        <v>685</v>
      </c>
      <c r="D63" s="31" t="s">
        <v>24</v>
      </c>
      <c r="E63" s="302" t="s">
        <v>64</v>
      </c>
      <c r="F63" s="42"/>
      <c r="G63" s="31"/>
      <c r="H63" s="149">
        <v>0.42</v>
      </c>
      <c r="I63" s="31"/>
      <c r="J63" s="31">
        <v>2018</v>
      </c>
      <c r="K63" s="31">
        <v>2018</v>
      </c>
      <c r="L63" s="76" t="s">
        <v>26</v>
      </c>
      <c r="M63" s="76" t="s">
        <v>26</v>
      </c>
      <c r="N63" s="122" t="s">
        <v>26</v>
      </c>
      <c r="O63" s="122" t="s">
        <v>26</v>
      </c>
      <c r="P63" s="302">
        <v>0</v>
      </c>
      <c r="Q63" s="302">
        <v>0</v>
      </c>
      <c r="R63" s="32">
        <f>0.6+0.093</f>
        <v>0.693</v>
      </c>
      <c r="S63" s="307"/>
      <c r="T63" s="32">
        <f>0.6+0.093</f>
        <v>0.693</v>
      </c>
      <c r="U63" s="306"/>
      <c r="V63" s="88" t="s">
        <v>35</v>
      </c>
      <c r="W63" s="88" t="s">
        <v>36</v>
      </c>
      <c r="X63" s="88" t="s">
        <v>37</v>
      </c>
      <c r="Y63" s="42"/>
      <c r="Z63" s="42"/>
      <c r="AA63" s="42"/>
      <c r="AB63" s="303"/>
    </row>
    <row r="64" spans="2:28" s="301" customFormat="1" ht="141.75">
      <c r="B64" s="145" t="s">
        <v>684</v>
      </c>
      <c r="C64" s="43" t="s">
        <v>687</v>
      </c>
      <c r="D64" s="31" t="s">
        <v>24</v>
      </c>
      <c r="E64" s="312" t="s">
        <v>34</v>
      </c>
      <c r="F64" s="44"/>
      <c r="G64" s="31"/>
      <c r="H64" s="29">
        <v>0.69</v>
      </c>
      <c r="I64" s="31"/>
      <c r="J64" s="45">
        <v>2019</v>
      </c>
      <c r="K64" s="45">
        <v>2019</v>
      </c>
      <c r="L64" s="76" t="s">
        <v>26</v>
      </c>
      <c r="M64" s="76" t="s">
        <v>26</v>
      </c>
      <c r="N64" s="122" t="s">
        <v>26</v>
      </c>
      <c r="O64" s="122" t="s">
        <v>26</v>
      </c>
      <c r="P64" s="302">
        <v>0</v>
      </c>
      <c r="Q64" s="302">
        <v>0</v>
      </c>
      <c r="R64" s="46">
        <f>5.73+2.14+2.05</f>
        <v>9.920000000000002</v>
      </c>
      <c r="S64" s="307"/>
      <c r="T64" s="46">
        <f>5.73+2.14+2.05</f>
        <v>9.920000000000002</v>
      </c>
      <c r="U64" s="306"/>
      <c r="V64" s="88" t="s">
        <v>35</v>
      </c>
      <c r="W64" s="88" t="s">
        <v>36</v>
      </c>
      <c r="X64" s="88" t="s">
        <v>37</v>
      </c>
      <c r="Y64" s="42"/>
      <c r="Z64" s="42"/>
      <c r="AA64" s="42"/>
      <c r="AB64" s="303"/>
    </row>
    <row r="65" spans="2:28" s="301" customFormat="1" ht="141.75">
      <c r="B65" s="145" t="s">
        <v>686</v>
      </c>
      <c r="C65" s="43" t="s">
        <v>689</v>
      </c>
      <c r="D65" s="31" t="s">
        <v>24</v>
      </c>
      <c r="E65" s="312" t="s">
        <v>34</v>
      </c>
      <c r="F65" s="44"/>
      <c r="G65" s="31"/>
      <c r="H65" s="30"/>
      <c r="I65" s="31"/>
      <c r="J65" s="45">
        <v>2019</v>
      </c>
      <c r="K65" s="45">
        <v>2019</v>
      </c>
      <c r="L65" s="76" t="s">
        <v>26</v>
      </c>
      <c r="M65" s="76" t="s">
        <v>26</v>
      </c>
      <c r="N65" s="122" t="s">
        <v>26</v>
      </c>
      <c r="O65" s="122" t="s">
        <v>26</v>
      </c>
      <c r="P65" s="302">
        <v>0</v>
      </c>
      <c r="Q65" s="302">
        <v>0</v>
      </c>
      <c r="R65" s="46">
        <f>1.57+1.002</f>
        <v>2.572</v>
      </c>
      <c r="S65" s="307"/>
      <c r="T65" s="46">
        <f>1.57+1.002</f>
        <v>2.572</v>
      </c>
      <c r="U65" s="306"/>
      <c r="V65" s="88" t="s">
        <v>35</v>
      </c>
      <c r="W65" s="88" t="s">
        <v>36</v>
      </c>
      <c r="X65" s="88" t="s">
        <v>37</v>
      </c>
      <c r="Y65" s="42"/>
      <c r="Z65" s="42"/>
      <c r="AA65" s="42"/>
      <c r="AB65" s="303"/>
    </row>
    <row r="66" spans="2:28" s="301" customFormat="1" ht="141.75">
      <c r="B66" s="145" t="s">
        <v>688</v>
      </c>
      <c r="C66" s="43" t="s">
        <v>691</v>
      </c>
      <c r="D66" s="31" t="s">
        <v>24</v>
      </c>
      <c r="E66" s="312" t="s">
        <v>65</v>
      </c>
      <c r="F66" s="44"/>
      <c r="G66" s="31"/>
      <c r="H66" s="30">
        <v>2.99</v>
      </c>
      <c r="I66" s="31"/>
      <c r="J66" s="45">
        <v>2019</v>
      </c>
      <c r="K66" s="45">
        <v>2019</v>
      </c>
      <c r="L66" s="76" t="s">
        <v>26</v>
      </c>
      <c r="M66" s="76" t="s">
        <v>26</v>
      </c>
      <c r="N66" s="122" t="s">
        <v>26</v>
      </c>
      <c r="O66" s="122" t="s">
        <v>26</v>
      </c>
      <c r="P66" s="302">
        <v>0</v>
      </c>
      <c r="Q66" s="302">
        <v>0</v>
      </c>
      <c r="R66" s="46">
        <f>4.56</f>
        <v>4.5600000000000005</v>
      </c>
      <c r="S66" s="307"/>
      <c r="T66" s="46">
        <f>4.56</f>
        <v>4.5600000000000005</v>
      </c>
      <c r="U66" s="306"/>
      <c r="V66" s="88" t="s">
        <v>35</v>
      </c>
      <c r="W66" s="88" t="s">
        <v>36</v>
      </c>
      <c r="X66" s="88" t="s">
        <v>37</v>
      </c>
      <c r="Y66" s="42"/>
      <c r="Z66" s="42"/>
      <c r="AA66" s="42"/>
      <c r="AB66" s="303"/>
    </row>
    <row r="67" spans="2:28" s="301" customFormat="1" ht="141.75">
      <c r="B67" s="145" t="s">
        <v>690</v>
      </c>
      <c r="C67" s="43" t="s">
        <v>693</v>
      </c>
      <c r="D67" s="31" t="s">
        <v>24</v>
      </c>
      <c r="E67" s="312" t="s">
        <v>65</v>
      </c>
      <c r="F67" s="44"/>
      <c r="G67" s="31"/>
      <c r="H67" s="30"/>
      <c r="I67" s="31"/>
      <c r="J67" s="45">
        <v>2019</v>
      </c>
      <c r="K67" s="45">
        <v>2019</v>
      </c>
      <c r="L67" s="76" t="s">
        <v>26</v>
      </c>
      <c r="M67" s="76" t="s">
        <v>26</v>
      </c>
      <c r="N67" s="122" t="s">
        <v>26</v>
      </c>
      <c r="O67" s="122" t="s">
        <v>26</v>
      </c>
      <c r="P67" s="302">
        <v>0</v>
      </c>
      <c r="Q67" s="302">
        <v>0</v>
      </c>
      <c r="R67" s="46">
        <f>1.28+2.59+1.058</f>
        <v>4.928</v>
      </c>
      <c r="S67" s="307"/>
      <c r="T67" s="46">
        <f>1.28+2.59+1.058</f>
        <v>4.928</v>
      </c>
      <c r="U67" s="306"/>
      <c r="V67" s="88" t="s">
        <v>35</v>
      </c>
      <c r="W67" s="88" t="s">
        <v>36</v>
      </c>
      <c r="X67" s="88" t="s">
        <v>37</v>
      </c>
      <c r="Y67" s="42"/>
      <c r="Z67" s="42"/>
      <c r="AA67" s="42"/>
      <c r="AB67" s="303"/>
    </row>
    <row r="68" spans="2:28" s="301" customFormat="1" ht="141.75">
      <c r="B68" s="145" t="s">
        <v>692</v>
      </c>
      <c r="C68" s="49" t="s">
        <v>695</v>
      </c>
      <c r="D68" s="31" t="s">
        <v>24</v>
      </c>
      <c r="E68" s="31" t="s">
        <v>60</v>
      </c>
      <c r="F68" s="29"/>
      <c r="G68" s="31"/>
      <c r="H68" s="30"/>
      <c r="I68" s="31"/>
      <c r="J68" s="45">
        <v>2019</v>
      </c>
      <c r="K68" s="45">
        <v>2019</v>
      </c>
      <c r="L68" s="76" t="s">
        <v>26</v>
      </c>
      <c r="M68" s="76" t="s">
        <v>26</v>
      </c>
      <c r="N68" s="122" t="s">
        <v>26</v>
      </c>
      <c r="O68" s="122" t="s">
        <v>26</v>
      </c>
      <c r="P68" s="302">
        <v>0</v>
      </c>
      <c r="Q68" s="302">
        <v>0</v>
      </c>
      <c r="R68" s="46">
        <f>1.175+0.095</f>
        <v>1.27</v>
      </c>
      <c r="S68" s="307"/>
      <c r="T68" s="46">
        <f>1.175+0.095</f>
        <v>1.27</v>
      </c>
      <c r="U68" s="306"/>
      <c r="V68" s="88" t="s">
        <v>35</v>
      </c>
      <c r="W68" s="88" t="s">
        <v>36</v>
      </c>
      <c r="X68" s="88" t="s">
        <v>37</v>
      </c>
      <c r="Y68" s="42"/>
      <c r="Z68" s="42"/>
      <c r="AA68" s="42"/>
      <c r="AB68" s="303"/>
    </row>
    <row r="69" spans="2:28" s="301" customFormat="1" ht="78.75">
      <c r="B69" s="145" t="s">
        <v>694</v>
      </c>
      <c r="C69" s="49" t="s">
        <v>697</v>
      </c>
      <c r="D69" s="31" t="s">
        <v>24</v>
      </c>
      <c r="E69" s="31" t="s">
        <v>66</v>
      </c>
      <c r="F69" s="30"/>
      <c r="G69" s="31"/>
      <c r="H69" s="29"/>
      <c r="I69" s="31"/>
      <c r="J69" s="45">
        <v>2019</v>
      </c>
      <c r="K69" s="45">
        <v>2019</v>
      </c>
      <c r="L69" s="76" t="s">
        <v>26</v>
      </c>
      <c r="M69" s="76" t="s">
        <v>26</v>
      </c>
      <c r="N69" s="122" t="s">
        <v>26</v>
      </c>
      <c r="O69" s="122" t="s">
        <v>26</v>
      </c>
      <c r="P69" s="302">
        <v>0</v>
      </c>
      <c r="Q69" s="302">
        <v>0</v>
      </c>
      <c r="R69" s="46">
        <f>29.909+0.586</f>
        <v>30.494999999999997</v>
      </c>
      <c r="S69" s="307"/>
      <c r="T69" s="46">
        <f>29.909+0.586</f>
        <v>30.494999999999997</v>
      </c>
      <c r="U69" s="306"/>
      <c r="V69" s="313" t="s">
        <v>27</v>
      </c>
      <c r="W69" s="313" t="s">
        <v>28</v>
      </c>
      <c r="X69" s="172" t="s">
        <v>29</v>
      </c>
      <c r="Y69" s="42"/>
      <c r="Z69" s="42"/>
      <c r="AA69" s="42"/>
      <c r="AB69" s="303"/>
    </row>
    <row r="70" spans="2:28" s="301" customFormat="1" ht="141.75">
      <c r="B70" s="145" t="s">
        <v>696</v>
      </c>
      <c r="C70" s="49" t="s">
        <v>699</v>
      </c>
      <c r="D70" s="31" t="s">
        <v>24</v>
      </c>
      <c r="E70" s="31" t="s">
        <v>67</v>
      </c>
      <c r="F70" s="30"/>
      <c r="G70" s="31"/>
      <c r="H70" s="29"/>
      <c r="I70" s="31"/>
      <c r="J70" s="45">
        <v>2019</v>
      </c>
      <c r="K70" s="45">
        <v>2019</v>
      </c>
      <c r="L70" s="76" t="s">
        <v>26</v>
      </c>
      <c r="M70" s="76" t="s">
        <v>26</v>
      </c>
      <c r="N70" s="122" t="s">
        <v>26</v>
      </c>
      <c r="O70" s="122" t="s">
        <v>26</v>
      </c>
      <c r="P70" s="302">
        <v>0</v>
      </c>
      <c r="Q70" s="302">
        <v>0</v>
      </c>
      <c r="R70" s="46">
        <f>8.027+0.469</f>
        <v>8.495999999999999</v>
      </c>
      <c r="S70" s="307"/>
      <c r="T70" s="46">
        <f>8.027+0.469</f>
        <v>8.495999999999999</v>
      </c>
      <c r="U70" s="306"/>
      <c r="V70" s="88" t="s">
        <v>35</v>
      </c>
      <c r="W70" s="88" t="s">
        <v>36</v>
      </c>
      <c r="X70" s="88" t="s">
        <v>37</v>
      </c>
      <c r="Y70" s="42"/>
      <c r="Z70" s="42"/>
      <c r="AA70" s="42"/>
      <c r="AB70" s="303"/>
    </row>
    <row r="71" spans="2:28" s="301" customFormat="1" ht="141.75">
      <c r="B71" s="145" t="s">
        <v>698</v>
      </c>
      <c r="C71" s="49" t="s">
        <v>701</v>
      </c>
      <c r="D71" s="31" t="s">
        <v>24</v>
      </c>
      <c r="E71" s="312" t="s">
        <v>68</v>
      </c>
      <c r="F71" s="30"/>
      <c r="G71" s="31"/>
      <c r="H71" s="29"/>
      <c r="I71" s="31"/>
      <c r="J71" s="45">
        <v>2019</v>
      </c>
      <c r="K71" s="45">
        <v>2019</v>
      </c>
      <c r="L71" s="76" t="s">
        <v>26</v>
      </c>
      <c r="M71" s="76" t="s">
        <v>26</v>
      </c>
      <c r="N71" s="122" t="s">
        <v>26</v>
      </c>
      <c r="O71" s="122" t="s">
        <v>26</v>
      </c>
      <c r="P71" s="302">
        <v>0</v>
      </c>
      <c r="Q71" s="302">
        <v>0</v>
      </c>
      <c r="R71" s="46">
        <f>19.408+0.509</f>
        <v>19.917</v>
      </c>
      <c r="S71" s="307"/>
      <c r="T71" s="46">
        <f>19.408+0.509</f>
        <v>19.917</v>
      </c>
      <c r="U71" s="306"/>
      <c r="V71" s="88" t="s">
        <v>35</v>
      </c>
      <c r="W71" s="88" t="s">
        <v>36</v>
      </c>
      <c r="X71" s="88" t="s">
        <v>37</v>
      </c>
      <c r="Y71" s="42"/>
      <c r="Z71" s="42"/>
      <c r="AA71" s="42"/>
      <c r="AB71" s="303"/>
    </row>
    <row r="72" spans="2:28" s="301" customFormat="1" ht="141.75">
      <c r="B72" s="145" t="s">
        <v>700</v>
      </c>
      <c r="C72" s="49" t="s">
        <v>703</v>
      </c>
      <c r="D72" s="31" t="s">
        <v>24</v>
      </c>
      <c r="E72" s="31" t="s">
        <v>69</v>
      </c>
      <c r="F72" s="30"/>
      <c r="G72" s="31"/>
      <c r="H72" s="29"/>
      <c r="I72" s="31"/>
      <c r="J72" s="45">
        <v>2019</v>
      </c>
      <c r="K72" s="45">
        <v>2019</v>
      </c>
      <c r="L72" s="76" t="s">
        <v>26</v>
      </c>
      <c r="M72" s="76" t="s">
        <v>26</v>
      </c>
      <c r="N72" s="122" t="s">
        <v>26</v>
      </c>
      <c r="O72" s="122" t="s">
        <v>26</v>
      </c>
      <c r="P72" s="302">
        <v>0</v>
      </c>
      <c r="Q72" s="302">
        <v>0</v>
      </c>
      <c r="R72" s="46">
        <f>6.225</f>
        <v>6.225</v>
      </c>
      <c r="S72" s="307"/>
      <c r="T72" s="46">
        <f>6.225</f>
        <v>6.225</v>
      </c>
      <c r="U72" s="306"/>
      <c r="V72" s="88" t="s">
        <v>35</v>
      </c>
      <c r="W72" s="88" t="s">
        <v>36</v>
      </c>
      <c r="X72" s="88" t="s">
        <v>37</v>
      </c>
      <c r="Y72" s="42"/>
      <c r="Z72" s="42"/>
      <c r="AA72" s="42"/>
      <c r="AB72" s="303"/>
    </row>
    <row r="73" spans="2:28" s="301" customFormat="1" ht="94.5">
      <c r="B73" s="145" t="s">
        <v>702</v>
      </c>
      <c r="C73" s="49" t="s">
        <v>705</v>
      </c>
      <c r="D73" s="31" t="s">
        <v>24</v>
      </c>
      <c r="E73" s="31" t="s">
        <v>69</v>
      </c>
      <c r="F73" s="30">
        <v>0</v>
      </c>
      <c r="G73" s="31"/>
      <c r="H73" s="29"/>
      <c r="I73" s="31"/>
      <c r="J73" s="45">
        <v>2019</v>
      </c>
      <c r="K73" s="45">
        <v>2019</v>
      </c>
      <c r="L73" s="76" t="s">
        <v>26</v>
      </c>
      <c r="M73" s="76" t="s">
        <v>26</v>
      </c>
      <c r="N73" s="122" t="s">
        <v>26</v>
      </c>
      <c r="O73" s="122" t="s">
        <v>26</v>
      </c>
      <c r="P73" s="302">
        <v>0</v>
      </c>
      <c r="Q73" s="302">
        <v>0</v>
      </c>
      <c r="R73" s="46">
        <f>4.203</f>
        <v>4.203</v>
      </c>
      <c r="S73" s="307"/>
      <c r="T73" s="46">
        <f>4.203</f>
        <v>4.203</v>
      </c>
      <c r="U73" s="306"/>
      <c r="V73" s="313" t="s">
        <v>70</v>
      </c>
      <c r="W73" s="304" t="s">
        <v>71</v>
      </c>
      <c r="X73" s="172" t="s">
        <v>53</v>
      </c>
      <c r="Y73" s="42"/>
      <c r="Z73" s="42"/>
      <c r="AA73" s="42"/>
      <c r="AB73" s="303"/>
    </row>
    <row r="74" spans="2:28" s="301" customFormat="1" ht="157.5">
      <c r="B74" s="145" t="s">
        <v>704</v>
      </c>
      <c r="C74" s="49" t="s">
        <v>707</v>
      </c>
      <c r="D74" s="31" t="s">
        <v>24</v>
      </c>
      <c r="E74" s="31" t="s">
        <v>72</v>
      </c>
      <c r="F74" s="30">
        <v>0</v>
      </c>
      <c r="G74" s="31"/>
      <c r="H74" s="29"/>
      <c r="I74" s="31"/>
      <c r="J74" s="45">
        <v>2019</v>
      </c>
      <c r="K74" s="45">
        <v>2019</v>
      </c>
      <c r="L74" s="76" t="s">
        <v>26</v>
      </c>
      <c r="M74" s="76" t="s">
        <v>26</v>
      </c>
      <c r="N74" s="122" t="s">
        <v>26</v>
      </c>
      <c r="O74" s="122" t="s">
        <v>26</v>
      </c>
      <c r="P74" s="302">
        <v>0</v>
      </c>
      <c r="Q74" s="302">
        <v>0</v>
      </c>
      <c r="R74" s="46">
        <f>1.497</f>
        <v>1.4969999999999999</v>
      </c>
      <c r="S74" s="307"/>
      <c r="T74" s="46">
        <f>1.497</f>
        <v>1.4969999999999999</v>
      </c>
      <c r="U74" s="306"/>
      <c r="V74" s="172" t="s">
        <v>40</v>
      </c>
      <c r="W74" s="304" t="s">
        <v>32</v>
      </c>
      <c r="X74" s="172" t="s">
        <v>33</v>
      </c>
      <c r="Y74" s="42"/>
      <c r="Z74" s="42"/>
      <c r="AA74" s="42"/>
      <c r="AB74" s="303"/>
    </row>
    <row r="75" spans="2:28" s="301" customFormat="1" ht="157.5">
      <c r="B75" s="145" t="s">
        <v>706</v>
      </c>
      <c r="C75" s="49" t="s">
        <v>709</v>
      </c>
      <c r="D75" s="31" t="s">
        <v>24</v>
      </c>
      <c r="E75" s="31" t="s">
        <v>67</v>
      </c>
      <c r="F75" s="30">
        <v>0</v>
      </c>
      <c r="G75" s="31"/>
      <c r="H75" s="29"/>
      <c r="I75" s="31"/>
      <c r="J75" s="45">
        <v>2019</v>
      </c>
      <c r="K75" s="45">
        <v>2019</v>
      </c>
      <c r="L75" s="76" t="s">
        <v>26</v>
      </c>
      <c r="M75" s="76" t="s">
        <v>26</v>
      </c>
      <c r="N75" s="122" t="s">
        <v>26</v>
      </c>
      <c r="O75" s="122" t="s">
        <v>26</v>
      </c>
      <c r="P75" s="302">
        <v>0</v>
      </c>
      <c r="Q75" s="302">
        <v>0</v>
      </c>
      <c r="R75" s="46">
        <f>4.401+4.961+0.496</f>
        <v>9.858</v>
      </c>
      <c r="S75" s="307"/>
      <c r="T75" s="46">
        <f>4.401+4.961+0.496</f>
        <v>9.858</v>
      </c>
      <c r="U75" s="306"/>
      <c r="V75" s="172" t="s">
        <v>40</v>
      </c>
      <c r="W75" s="304" t="s">
        <v>32</v>
      </c>
      <c r="X75" s="172" t="s">
        <v>33</v>
      </c>
      <c r="Y75" s="42"/>
      <c r="Z75" s="42"/>
      <c r="AA75" s="42"/>
      <c r="AB75" s="303"/>
    </row>
    <row r="76" spans="2:28" s="301" customFormat="1" ht="157.5">
      <c r="B76" s="145" t="s">
        <v>708</v>
      </c>
      <c r="C76" s="49" t="s">
        <v>711</v>
      </c>
      <c r="D76" s="31" t="s">
        <v>24</v>
      </c>
      <c r="E76" s="31" t="s">
        <v>73</v>
      </c>
      <c r="F76" s="30"/>
      <c r="G76" s="31"/>
      <c r="H76" s="29"/>
      <c r="I76" s="31"/>
      <c r="J76" s="45">
        <v>2019</v>
      </c>
      <c r="K76" s="45">
        <v>2019</v>
      </c>
      <c r="L76" s="76" t="s">
        <v>26</v>
      </c>
      <c r="M76" s="76" t="s">
        <v>26</v>
      </c>
      <c r="N76" s="122" t="s">
        <v>26</v>
      </c>
      <c r="O76" s="122" t="s">
        <v>26</v>
      </c>
      <c r="P76" s="302">
        <v>0</v>
      </c>
      <c r="Q76" s="302">
        <v>0</v>
      </c>
      <c r="R76" s="46">
        <f>1.059</f>
        <v>1.059</v>
      </c>
      <c r="S76" s="307"/>
      <c r="T76" s="46">
        <f>1.059</f>
        <v>1.059</v>
      </c>
      <c r="U76" s="306"/>
      <c r="V76" s="172" t="s">
        <v>40</v>
      </c>
      <c r="W76" s="304" t="s">
        <v>32</v>
      </c>
      <c r="X76" s="172" t="s">
        <v>33</v>
      </c>
      <c r="Y76" s="42"/>
      <c r="Z76" s="42"/>
      <c r="AA76" s="42"/>
      <c r="AB76" s="303"/>
    </row>
    <row r="77" spans="2:28" s="301" customFormat="1" ht="157.5">
      <c r="B77" s="145" t="s">
        <v>710</v>
      </c>
      <c r="C77" s="49" t="s">
        <v>713</v>
      </c>
      <c r="D77" s="31" t="s">
        <v>24</v>
      </c>
      <c r="E77" s="31" t="s">
        <v>59</v>
      </c>
      <c r="F77" s="30"/>
      <c r="G77" s="31"/>
      <c r="H77" s="29"/>
      <c r="I77" s="31"/>
      <c r="J77" s="45">
        <v>2019</v>
      </c>
      <c r="K77" s="45">
        <v>2019</v>
      </c>
      <c r="L77" s="76" t="s">
        <v>26</v>
      </c>
      <c r="M77" s="76" t="s">
        <v>26</v>
      </c>
      <c r="N77" s="122" t="s">
        <v>26</v>
      </c>
      <c r="O77" s="122" t="s">
        <v>26</v>
      </c>
      <c r="P77" s="302">
        <v>0</v>
      </c>
      <c r="Q77" s="302">
        <v>0</v>
      </c>
      <c r="R77" s="46">
        <f>1.059</f>
        <v>1.059</v>
      </c>
      <c r="S77" s="307"/>
      <c r="T77" s="46">
        <f>1.059</f>
        <v>1.059</v>
      </c>
      <c r="U77" s="306"/>
      <c r="V77" s="172" t="s">
        <v>40</v>
      </c>
      <c r="W77" s="304" t="s">
        <v>32</v>
      </c>
      <c r="X77" s="172" t="s">
        <v>33</v>
      </c>
      <c r="Y77" s="42"/>
      <c r="Z77" s="42"/>
      <c r="AA77" s="42"/>
      <c r="AB77" s="303"/>
    </row>
    <row r="78" spans="2:28" s="301" customFormat="1" ht="141.75">
      <c r="B78" s="145" t="s">
        <v>712</v>
      </c>
      <c r="C78" s="49" t="s">
        <v>715</v>
      </c>
      <c r="D78" s="31" t="s">
        <v>24</v>
      </c>
      <c r="E78" s="31" t="s">
        <v>74</v>
      </c>
      <c r="F78" s="30">
        <v>0.63</v>
      </c>
      <c r="G78" s="31"/>
      <c r="H78" s="29"/>
      <c r="I78" s="31"/>
      <c r="J78" s="45">
        <v>2019</v>
      </c>
      <c r="K78" s="45">
        <v>2019</v>
      </c>
      <c r="L78" s="76" t="s">
        <v>26</v>
      </c>
      <c r="M78" s="76" t="s">
        <v>26</v>
      </c>
      <c r="N78" s="122" t="s">
        <v>26</v>
      </c>
      <c r="O78" s="122" t="s">
        <v>26</v>
      </c>
      <c r="P78" s="302">
        <v>0</v>
      </c>
      <c r="Q78" s="302">
        <v>0</v>
      </c>
      <c r="R78" s="46">
        <f>1.019+0.061</f>
        <v>1.0799999999999998</v>
      </c>
      <c r="S78" s="307"/>
      <c r="T78" s="46">
        <f>1.019+0.061</f>
        <v>1.0799999999999998</v>
      </c>
      <c r="U78" s="306"/>
      <c r="V78" s="313" t="s">
        <v>35</v>
      </c>
      <c r="W78" s="304" t="s">
        <v>36</v>
      </c>
      <c r="X78" s="172" t="s">
        <v>37</v>
      </c>
      <c r="Y78" s="42"/>
      <c r="Z78" s="42"/>
      <c r="AA78" s="42"/>
      <c r="AB78" s="303"/>
    </row>
    <row r="79" spans="2:28" s="301" customFormat="1" ht="141.75">
      <c r="B79" s="145" t="s">
        <v>714</v>
      </c>
      <c r="C79" s="49" t="s">
        <v>717</v>
      </c>
      <c r="D79" s="31" t="s">
        <v>24</v>
      </c>
      <c r="E79" s="31" t="s">
        <v>74</v>
      </c>
      <c r="F79" s="30">
        <v>0.4</v>
      </c>
      <c r="G79" s="31"/>
      <c r="H79" s="29"/>
      <c r="I79" s="31"/>
      <c r="J79" s="45">
        <v>2019</v>
      </c>
      <c r="K79" s="45">
        <v>2019</v>
      </c>
      <c r="L79" s="76" t="s">
        <v>26</v>
      </c>
      <c r="M79" s="76" t="s">
        <v>26</v>
      </c>
      <c r="N79" s="122" t="s">
        <v>26</v>
      </c>
      <c r="O79" s="122" t="s">
        <v>26</v>
      </c>
      <c r="P79" s="302">
        <v>0</v>
      </c>
      <c r="Q79" s="302">
        <v>0</v>
      </c>
      <c r="R79" s="46">
        <f>0.873+0.052</f>
        <v>0.925</v>
      </c>
      <c r="S79" s="307"/>
      <c r="T79" s="46">
        <f>0.873+0.052</f>
        <v>0.925</v>
      </c>
      <c r="U79" s="306"/>
      <c r="V79" s="313" t="s">
        <v>35</v>
      </c>
      <c r="W79" s="304" t="s">
        <v>36</v>
      </c>
      <c r="X79" s="172" t="s">
        <v>37</v>
      </c>
      <c r="Y79" s="42"/>
      <c r="Z79" s="42"/>
      <c r="AA79" s="42"/>
      <c r="AB79" s="303"/>
    </row>
    <row r="80" spans="2:28" s="301" customFormat="1" ht="141.75">
      <c r="B80" s="145" t="s">
        <v>716</v>
      </c>
      <c r="C80" s="49" t="s">
        <v>719</v>
      </c>
      <c r="D80" s="31" t="s">
        <v>24</v>
      </c>
      <c r="E80" s="31" t="s">
        <v>39</v>
      </c>
      <c r="F80" s="30">
        <v>0.8</v>
      </c>
      <c r="G80" s="31"/>
      <c r="H80" s="29"/>
      <c r="I80" s="31"/>
      <c r="J80" s="45">
        <v>2019</v>
      </c>
      <c r="K80" s="45">
        <v>2019</v>
      </c>
      <c r="L80" s="76" t="s">
        <v>26</v>
      </c>
      <c r="M80" s="76" t="s">
        <v>26</v>
      </c>
      <c r="N80" s="122" t="s">
        <v>26</v>
      </c>
      <c r="O80" s="122" t="s">
        <v>26</v>
      </c>
      <c r="P80" s="302">
        <v>0</v>
      </c>
      <c r="Q80" s="302">
        <v>0</v>
      </c>
      <c r="R80" s="46">
        <f>14.377+1.709</f>
        <v>16.086000000000002</v>
      </c>
      <c r="S80" s="307"/>
      <c r="T80" s="46">
        <f>14.377+1.709</f>
        <v>16.086000000000002</v>
      </c>
      <c r="U80" s="306"/>
      <c r="V80" s="313" t="s">
        <v>35</v>
      </c>
      <c r="W80" s="304" t="s">
        <v>36</v>
      </c>
      <c r="X80" s="172" t="s">
        <v>37</v>
      </c>
      <c r="Y80" s="42"/>
      <c r="Z80" s="42"/>
      <c r="AA80" s="42"/>
      <c r="AB80" s="303"/>
    </row>
    <row r="81" spans="2:28" s="301" customFormat="1" ht="126">
      <c r="B81" s="145" t="s">
        <v>718</v>
      </c>
      <c r="C81" s="49" t="s">
        <v>721</v>
      </c>
      <c r="D81" s="31" t="s">
        <v>24</v>
      </c>
      <c r="E81" s="31" t="s">
        <v>39</v>
      </c>
      <c r="F81" s="30">
        <v>0.4</v>
      </c>
      <c r="G81" s="31"/>
      <c r="H81" s="29"/>
      <c r="I81" s="31"/>
      <c r="J81" s="45">
        <v>2019</v>
      </c>
      <c r="K81" s="45">
        <v>2019</v>
      </c>
      <c r="L81" s="76" t="s">
        <v>26</v>
      </c>
      <c r="M81" s="76" t="s">
        <v>26</v>
      </c>
      <c r="N81" s="122" t="s">
        <v>26</v>
      </c>
      <c r="O81" s="122" t="s">
        <v>26</v>
      </c>
      <c r="P81" s="302">
        <v>0</v>
      </c>
      <c r="Q81" s="302">
        <v>0</v>
      </c>
      <c r="R81" s="46">
        <f>0.817+0.093</f>
        <v>0.91</v>
      </c>
      <c r="S81" s="307"/>
      <c r="T81" s="46">
        <f>0.817+0.093</f>
        <v>0.91</v>
      </c>
      <c r="U81" s="306"/>
      <c r="V81" s="172" t="s">
        <v>42</v>
      </c>
      <c r="W81" s="304" t="s">
        <v>43</v>
      </c>
      <c r="X81" s="172" t="s">
        <v>44</v>
      </c>
      <c r="Y81" s="42"/>
      <c r="Z81" s="42"/>
      <c r="AA81" s="42"/>
      <c r="AB81" s="303"/>
    </row>
    <row r="82" spans="2:28" s="301" customFormat="1" ht="126">
      <c r="B82" s="145" t="s">
        <v>720</v>
      </c>
      <c r="C82" s="49" t="s">
        <v>723</v>
      </c>
      <c r="D82" s="31" t="s">
        <v>24</v>
      </c>
      <c r="E82" s="31" t="s">
        <v>39</v>
      </c>
      <c r="F82" s="30">
        <v>0.4</v>
      </c>
      <c r="G82" s="31"/>
      <c r="H82" s="29"/>
      <c r="I82" s="31"/>
      <c r="J82" s="45">
        <v>2019</v>
      </c>
      <c r="K82" s="45">
        <v>2019</v>
      </c>
      <c r="L82" s="76" t="s">
        <v>26</v>
      </c>
      <c r="M82" s="76" t="s">
        <v>26</v>
      </c>
      <c r="N82" s="122" t="s">
        <v>26</v>
      </c>
      <c r="O82" s="122" t="s">
        <v>26</v>
      </c>
      <c r="P82" s="302">
        <v>0</v>
      </c>
      <c r="Q82" s="302">
        <v>0</v>
      </c>
      <c r="R82" s="46">
        <f>0.818+0.093</f>
        <v>0.911</v>
      </c>
      <c r="S82" s="307"/>
      <c r="T82" s="46">
        <f>0.818+0.093</f>
        <v>0.911</v>
      </c>
      <c r="U82" s="306"/>
      <c r="V82" s="172" t="s">
        <v>42</v>
      </c>
      <c r="W82" s="304" t="s">
        <v>43</v>
      </c>
      <c r="X82" s="172" t="s">
        <v>44</v>
      </c>
      <c r="Y82" s="42"/>
      <c r="Z82" s="42"/>
      <c r="AA82" s="42"/>
      <c r="AB82" s="303"/>
    </row>
    <row r="83" spans="2:28" s="301" customFormat="1" ht="126">
      <c r="B83" s="145" t="s">
        <v>722</v>
      </c>
      <c r="C83" s="49" t="s">
        <v>725</v>
      </c>
      <c r="D83" s="31" t="s">
        <v>24</v>
      </c>
      <c r="E83" s="31" t="s">
        <v>75</v>
      </c>
      <c r="F83" s="30">
        <v>0.4</v>
      </c>
      <c r="G83" s="31"/>
      <c r="H83" s="29"/>
      <c r="I83" s="31"/>
      <c r="J83" s="45">
        <v>2019</v>
      </c>
      <c r="K83" s="45">
        <v>2019</v>
      </c>
      <c r="L83" s="76" t="s">
        <v>26</v>
      </c>
      <c r="M83" s="76" t="s">
        <v>26</v>
      </c>
      <c r="N83" s="122" t="s">
        <v>26</v>
      </c>
      <c r="O83" s="122" t="s">
        <v>26</v>
      </c>
      <c r="P83" s="302">
        <v>0</v>
      </c>
      <c r="Q83" s="302">
        <v>0</v>
      </c>
      <c r="R83" s="46">
        <f>1.03+0.315</f>
        <v>1.345</v>
      </c>
      <c r="S83" s="307"/>
      <c r="T83" s="46">
        <f>1.03+0.315</f>
        <v>1.345</v>
      </c>
      <c r="U83" s="306"/>
      <c r="V83" s="172" t="s">
        <v>42</v>
      </c>
      <c r="W83" s="304" t="s">
        <v>43</v>
      </c>
      <c r="X83" s="172" t="s">
        <v>44</v>
      </c>
      <c r="Y83" s="42"/>
      <c r="Z83" s="42"/>
      <c r="AA83" s="42"/>
      <c r="AB83" s="303"/>
    </row>
    <row r="84" spans="2:28" s="301" customFormat="1" ht="141.75">
      <c r="B84" s="145" t="s">
        <v>724</v>
      </c>
      <c r="C84" s="49" t="s">
        <v>727</v>
      </c>
      <c r="D84" s="31" t="s">
        <v>24</v>
      </c>
      <c r="E84" s="31" t="s">
        <v>75</v>
      </c>
      <c r="F84" s="30">
        <v>0.4</v>
      </c>
      <c r="G84" s="31"/>
      <c r="H84" s="29"/>
      <c r="I84" s="31"/>
      <c r="J84" s="45">
        <v>2019</v>
      </c>
      <c r="K84" s="45">
        <v>2019</v>
      </c>
      <c r="L84" s="76" t="s">
        <v>26</v>
      </c>
      <c r="M84" s="76" t="s">
        <v>26</v>
      </c>
      <c r="N84" s="122" t="s">
        <v>26</v>
      </c>
      <c r="O84" s="122" t="s">
        <v>26</v>
      </c>
      <c r="P84" s="302">
        <v>0</v>
      </c>
      <c r="Q84" s="302">
        <v>0</v>
      </c>
      <c r="R84" s="46">
        <f>1.03+0.315</f>
        <v>1.345</v>
      </c>
      <c r="S84" s="307"/>
      <c r="T84" s="46">
        <f>1.03+0.315</f>
        <v>1.345</v>
      </c>
      <c r="U84" s="306"/>
      <c r="V84" s="313" t="s">
        <v>35</v>
      </c>
      <c r="W84" s="304" t="s">
        <v>36</v>
      </c>
      <c r="X84" s="172" t="s">
        <v>37</v>
      </c>
      <c r="Y84" s="42"/>
      <c r="Z84" s="42"/>
      <c r="AA84" s="42"/>
      <c r="AB84" s="303"/>
    </row>
    <row r="85" spans="2:28" s="301" customFormat="1" ht="78.75">
      <c r="B85" s="145" t="s">
        <v>726</v>
      </c>
      <c r="C85" s="49" t="s">
        <v>729</v>
      </c>
      <c r="D85" s="302" t="s">
        <v>24</v>
      </c>
      <c r="E85" s="302" t="s">
        <v>55</v>
      </c>
      <c r="F85" s="29"/>
      <c r="G85" s="31"/>
      <c r="H85" s="149">
        <v>0.08</v>
      </c>
      <c r="I85" s="31"/>
      <c r="J85" s="45">
        <v>2019</v>
      </c>
      <c r="K85" s="45">
        <v>2019</v>
      </c>
      <c r="L85" s="76" t="s">
        <v>26</v>
      </c>
      <c r="M85" s="76" t="s">
        <v>26</v>
      </c>
      <c r="N85" s="122" t="s">
        <v>26</v>
      </c>
      <c r="O85" s="122" t="s">
        <v>26</v>
      </c>
      <c r="P85" s="302">
        <v>0</v>
      </c>
      <c r="Q85" s="302">
        <v>0</v>
      </c>
      <c r="R85" s="46">
        <f>0.13+0.011</f>
        <v>0.14100000000000001</v>
      </c>
      <c r="S85" s="307"/>
      <c r="T85" s="46">
        <f>0.13+0.011</f>
        <v>0.14100000000000001</v>
      </c>
      <c r="U85" s="306"/>
      <c r="V85" s="313" t="s">
        <v>27</v>
      </c>
      <c r="W85" s="313" t="s">
        <v>28</v>
      </c>
      <c r="X85" s="172" t="s">
        <v>29</v>
      </c>
      <c r="Y85" s="42"/>
      <c r="Z85" s="42"/>
      <c r="AA85" s="42"/>
      <c r="AB85" s="303"/>
    </row>
    <row r="86" spans="2:28" s="301" customFormat="1" ht="94.5">
      <c r="B86" s="145" t="s">
        <v>728</v>
      </c>
      <c r="C86" s="49" t="s">
        <v>731</v>
      </c>
      <c r="D86" s="31" t="s">
        <v>24</v>
      </c>
      <c r="E86" s="31" t="s">
        <v>55</v>
      </c>
      <c r="F86" s="29"/>
      <c r="G86" s="31"/>
      <c r="H86" s="149">
        <v>0.14</v>
      </c>
      <c r="I86" s="31"/>
      <c r="J86" s="45">
        <v>2019</v>
      </c>
      <c r="K86" s="45">
        <v>2019</v>
      </c>
      <c r="L86" s="76" t="s">
        <v>26</v>
      </c>
      <c r="M86" s="76" t="s">
        <v>26</v>
      </c>
      <c r="N86" s="122" t="s">
        <v>26</v>
      </c>
      <c r="O86" s="122" t="s">
        <v>26</v>
      </c>
      <c r="P86" s="302">
        <v>0</v>
      </c>
      <c r="Q86" s="302">
        <v>0</v>
      </c>
      <c r="R86" s="46">
        <f>0.458+0.041</f>
        <v>0.499</v>
      </c>
      <c r="S86" s="307"/>
      <c r="T86" s="46">
        <f>0.458+0.041</f>
        <v>0.499</v>
      </c>
      <c r="U86" s="306"/>
      <c r="V86" s="313" t="s">
        <v>35</v>
      </c>
      <c r="W86" s="304" t="s">
        <v>71</v>
      </c>
      <c r="X86" s="172" t="s">
        <v>53</v>
      </c>
      <c r="Y86" s="42"/>
      <c r="Z86" s="42"/>
      <c r="AA86" s="42"/>
      <c r="AB86" s="303"/>
    </row>
    <row r="87" spans="2:28" s="301" customFormat="1" ht="141.75">
      <c r="B87" s="145" t="s">
        <v>730</v>
      </c>
      <c r="C87" s="49" t="s">
        <v>733</v>
      </c>
      <c r="D87" s="31" t="s">
        <v>24</v>
      </c>
      <c r="E87" s="31" t="s">
        <v>56</v>
      </c>
      <c r="F87" s="29"/>
      <c r="G87" s="31"/>
      <c r="H87" s="161">
        <v>0.39</v>
      </c>
      <c r="I87" s="31"/>
      <c r="J87" s="45">
        <v>2019</v>
      </c>
      <c r="K87" s="45">
        <v>2019</v>
      </c>
      <c r="L87" s="76" t="s">
        <v>26</v>
      </c>
      <c r="M87" s="76" t="s">
        <v>26</v>
      </c>
      <c r="N87" s="122" t="s">
        <v>26</v>
      </c>
      <c r="O87" s="122" t="s">
        <v>26</v>
      </c>
      <c r="P87" s="302">
        <v>0</v>
      </c>
      <c r="Q87" s="302">
        <v>0</v>
      </c>
      <c r="R87" s="46">
        <f>0.266+0.014</f>
        <v>0.28</v>
      </c>
      <c r="S87" s="307"/>
      <c r="T87" s="46">
        <f>0.266+0.014</f>
        <v>0.28</v>
      </c>
      <c r="U87" s="306"/>
      <c r="V87" s="313" t="s">
        <v>35</v>
      </c>
      <c r="W87" s="304" t="s">
        <v>36</v>
      </c>
      <c r="X87" s="172" t="s">
        <v>37</v>
      </c>
      <c r="Y87" s="42"/>
      <c r="Z87" s="42"/>
      <c r="AA87" s="42"/>
      <c r="AB87" s="303"/>
    </row>
    <row r="88" spans="2:28" s="301" customFormat="1" ht="141.75">
      <c r="B88" s="145" t="s">
        <v>732</v>
      </c>
      <c r="C88" s="49" t="s">
        <v>734</v>
      </c>
      <c r="D88" s="31" t="s">
        <v>24</v>
      </c>
      <c r="E88" s="31" t="s">
        <v>56</v>
      </c>
      <c r="F88" s="29"/>
      <c r="G88" s="31"/>
      <c r="H88" s="161">
        <v>0.32</v>
      </c>
      <c r="I88" s="31"/>
      <c r="J88" s="45">
        <v>2019</v>
      </c>
      <c r="K88" s="45">
        <v>2019</v>
      </c>
      <c r="L88" s="76" t="s">
        <v>26</v>
      </c>
      <c r="M88" s="76" t="s">
        <v>26</v>
      </c>
      <c r="N88" s="122" t="s">
        <v>26</v>
      </c>
      <c r="O88" s="122" t="s">
        <v>26</v>
      </c>
      <c r="P88" s="302">
        <v>0</v>
      </c>
      <c r="Q88" s="302">
        <v>0</v>
      </c>
      <c r="R88" s="46">
        <f>0.424+0.039</f>
        <v>0.46299999999999997</v>
      </c>
      <c r="S88" s="307"/>
      <c r="T88" s="46">
        <f>0.424+0.039</f>
        <v>0.46299999999999997</v>
      </c>
      <c r="U88" s="306"/>
      <c r="V88" s="313" t="s">
        <v>35</v>
      </c>
      <c r="W88" s="304" t="s">
        <v>36</v>
      </c>
      <c r="X88" s="172" t="s">
        <v>37</v>
      </c>
      <c r="Y88" s="42"/>
      <c r="Z88" s="42"/>
      <c r="AA88" s="42"/>
      <c r="AB88" s="303"/>
    </row>
    <row r="89" spans="2:28" ht="31.5">
      <c r="B89" s="52" t="s">
        <v>735</v>
      </c>
      <c r="C89" s="314" t="s">
        <v>736</v>
      </c>
      <c r="D89" s="315"/>
      <c r="E89" s="315"/>
      <c r="F89" s="316"/>
      <c r="G89" s="317"/>
      <c r="H89" s="316"/>
      <c r="I89" s="317"/>
      <c r="J89" s="25"/>
      <c r="K89" s="25"/>
      <c r="L89" s="25"/>
      <c r="M89" s="25"/>
      <c r="N89" s="316"/>
      <c r="O89" s="316"/>
      <c r="P89" s="316"/>
      <c r="Q89" s="316"/>
      <c r="R89" s="318"/>
      <c r="S89" s="317"/>
      <c r="T89" s="318"/>
      <c r="U89" s="317"/>
      <c r="V89" s="319"/>
      <c r="W89" s="319"/>
      <c r="X89" s="319"/>
      <c r="Y89" s="316"/>
      <c r="Z89" s="317"/>
      <c r="AA89" s="317"/>
      <c r="AB89" s="320"/>
    </row>
    <row r="90" spans="2:28" ht="15.75">
      <c r="B90" s="61"/>
      <c r="C90" s="321"/>
      <c r="D90" s="312"/>
      <c r="E90" s="312"/>
      <c r="F90" s="322"/>
      <c r="G90" s="323"/>
      <c r="H90" s="323"/>
      <c r="I90" s="323"/>
      <c r="J90" s="76"/>
      <c r="K90" s="76"/>
      <c r="L90" s="76"/>
      <c r="M90" s="76"/>
      <c r="N90" s="322"/>
      <c r="O90" s="322"/>
      <c r="P90" s="322"/>
      <c r="Q90" s="322"/>
      <c r="R90" s="324"/>
      <c r="S90" s="323"/>
      <c r="T90" s="324"/>
      <c r="U90" s="323"/>
      <c r="V90" s="325"/>
      <c r="W90" s="325"/>
      <c r="X90" s="325"/>
      <c r="Y90" s="322"/>
      <c r="Z90" s="323"/>
      <c r="AA90" s="323"/>
      <c r="AB90" s="326"/>
    </row>
    <row r="91" spans="2:28" ht="15.75">
      <c r="B91" s="52" t="s">
        <v>737</v>
      </c>
      <c r="C91" s="314" t="s">
        <v>738</v>
      </c>
      <c r="D91" s="298"/>
      <c r="E91" s="298"/>
      <c r="F91" s="327"/>
      <c r="G91" s="328"/>
      <c r="H91" s="328"/>
      <c r="I91" s="328"/>
      <c r="J91" s="23"/>
      <c r="K91" s="23"/>
      <c r="L91" s="23"/>
      <c r="M91" s="23"/>
      <c r="N91" s="327"/>
      <c r="O91" s="327"/>
      <c r="P91" s="327"/>
      <c r="Q91" s="327"/>
      <c r="R91" s="329"/>
      <c r="S91" s="328"/>
      <c r="T91" s="329"/>
      <c r="U91" s="328"/>
      <c r="V91" s="330"/>
      <c r="W91" s="330"/>
      <c r="X91" s="330"/>
      <c r="Y91" s="327"/>
      <c r="Z91" s="328"/>
      <c r="AA91" s="328"/>
      <c r="AB91" s="331"/>
    </row>
    <row r="92" spans="2:28" ht="15.75">
      <c r="B92" s="61"/>
      <c r="C92" s="321"/>
      <c r="D92" s="312"/>
      <c r="E92" s="312"/>
      <c r="F92" s="322"/>
      <c r="G92" s="323"/>
      <c r="H92" s="323"/>
      <c r="I92" s="323"/>
      <c r="J92" s="29"/>
      <c r="K92" s="29"/>
      <c r="L92" s="29"/>
      <c r="M92" s="29"/>
      <c r="N92" s="322"/>
      <c r="O92" s="322"/>
      <c r="P92" s="322"/>
      <c r="Q92" s="322"/>
      <c r="R92" s="324"/>
      <c r="S92" s="323"/>
      <c r="T92" s="324"/>
      <c r="U92" s="323"/>
      <c r="V92" s="325"/>
      <c r="W92" s="325"/>
      <c r="X92" s="325"/>
      <c r="Y92" s="322"/>
      <c r="Z92" s="323"/>
      <c r="AA92" s="323"/>
      <c r="AB92" s="326"/>
    </row>
    <row r="93" spans="2:28" ht="47.25">
      <c r="B93" s="52" t="s">
        <v>739</v>
      </c>
      <c r="C93" s="314" t="s">
        <v>740</v>
      </c>
      <c r="D93" s="315"/>
      <c r="E93" s="315"/>
      <c r="F93" s="316"/>
      <c r="G93" s="317"/>
      <c r="H93" s="316"/>
      <c r="I93" s="317"/>
      <c r="J93" s="54"/>
      <c r="K93" s="54"/>
      <c r="L93" s="54"/>
      <c r="M93" s="54"/>
      <c r="N93" s="316"/>
      <c r="O93" s="316"/>
      <c r="P93" s="316"/>
      <c r="Q93" s="316"/>
      <c r="R93" s="318"/>
      <c r="S93" s="317"/>
      <c r="T93" s="318"/>
      <c r="U93" s="317"/>
      <c r="V93" s="319"/>
      <c r="W93" s="319"/>
      <c r="X93" s="319"/>
      <c r="Y93" s="316"/>
      <c r="Z93" s="317"/>
      <c r="AA93" s="317"/>
      <c r="AB93" s="320"/>
    </row>
    <row r="94" spans="2:28" ht="15.75">
      <c r="B94" s="61"/>
      <c r="C94" s="62"/>
      <c r="D94" s="312"/>
      <c r="E94" s="312"/>
      <c r="F94" s="322"/>
      <c r="G94" s="323"/>
      <c r="H94" s="306"/>
      <c r="I94" s="323"/>
      <c r="J94" s="29"/>
      <c r="K94" s="29"/>
      <c r="L94" s="29"/>
      <c r="M94" s="29"/>
      <c r="N94" s="322"/>
      <c r="O94" s="322"/>
      <c r="P94" s="322"/>
      <c r="Q94" s="322"/>
      <c r="R94" s="324"/>
      <c r="S94" s="323"/>
      <c r="T94" s="324"/>
      <c r="U94" s="323"/>
      <c r="V94" s="325"/>
      <c r="W94" s="325"/>
      <c r="X94" s="325"/>
      <c r="Y94" s="322"/>
      <c r="Z94" s="323"/>
      <c r="AA94" s="323"/>
      <c r="AB94" s="326"/>
    </row>
    <row r="95" spans="2:28" ht="15.75">
      <c r="B95" s="67" t="s">
        <v>741</v>
      </c>
      <c r="C95" s="68" t="s">
        <v>742</v>
      </c>
      <c r="D95" s="312"/>
      <c r="E95" s="312"/>
      <c r="F95" s="322"/>
      <c r="G95" s="323"/>
      <c r="H95" s="305">
        <f>H96</f>
        <v>0.37</v>
      </c>
      <c r="I95" s="323"/>
      <c r="J95" s="29"/>
      <c r="K95" s="29"/>
      <c r="L95" s="29"/>
      <c r="M95" s="29"/>
      <c r="N95" s="322"/>
      <c r="O95" s="322"/>
      <c r="P95" s="322"/>
      <c r="Q95" s="322"/>
      <c r="R95" s="332">
        <f>R96</f>
        <v>1.68</v>
      </c>
      <c r="S95" s="333"/>
      <c r="T95" s="332">
        <f>T96</f>
        <v>1.68</v>
      </c>
      <c r="U95" s="323"/>
      <c r="V95" s="325"/>
      <c r="W95" s="325"/>
      <c r="X95" s="325"/>
      <c r="Y95" s="322"/>
      <c r="Z95" s="323"/>
      <c r="AA95" s="323"/>
      <c r="AB95" s="326"/>
    </row>
    <row r="96" spans="2:28" ht="31.5">
      <c r="B96" s="22" t="s">
        <v>743</v>
      </c>
      <c r="C96" s="23" t="s">
        <v>595</v>
      </c>
      <c r="D96" s="315"/>
      <c r="E96" s="315"/>
      <c r="F96" s="316"/>
      <c r="G96" s="317"/>
      <c r="H96" s="334">
        <f>H97</f>
        <v>0.37</v>
      </c>
      <c r="I96" s="317"/>
      <c r="J96" s="54"/>
      <c r="K96" s="54"/>
      <c r="L96" s="54"/>
      <c r="M96" s="54"/>
      <c r="N96" s="316"/>
      <c r="O96" s="316"/>
      <c r="P96" s="316"/>
      <c r="Q96" s="316"/>
      <c r="R96" s="335">
        <f>R97</f>
        <v>1.68</v>
      </c>
      <c r="S96" s="336"/>
      <c r="T96" s="335">
        <f>T97</f>
        <v>1.68</v>
      </c>
      <c r="U96" s="317"/>
      <c r="V96" s="319"/>
      <c r="W96" s="319"/>
      <c r="X96" s="319"/>
      <c r="Y96" s="316"/>
      <c r="Z96" s="317"/>
      <c r="AA96" s="317"/>
      <c r="AB96" s="320"/>
    </row>
    <row r="97" spans="2:28" ht="63">
      <c r="B97" s="86" t="s">
        <v>831</v>
      </c>
      <c r="C97" s="75" t="s">
        <v>745</v>
      </c>
      <c r="D97" s="302" t="s">
        <v>24</v>
      </c>
      <c r="E97" s="302" t="s">
        <v>76</v>
      </c>
      <c r="F97" s="305"/>
      <c r="G97" s="306"/>
      <c r="H97" s="305">
        <v>0.37</v>
      </c>
      <c r="I97" s="306"/>
      <c r="J97" s="29">
        <v>2017</v>
      </c>
      <c r="K97" s="29">
        <v>2017</v>
      </c>
      <c r="L97" s="76" t="s">
        <v>26</v>
      </c>
      <c r="M97" s="76" t="s">
        <v>26</v>
      </c>
      <c r="N97" s="122" t="s">
        <v>26</v>
      </c>
      <c r="O97" s="122" t="s">
        <v>26</v>
      </c>
      <c r="P97" s="302">
        <v>0</v>
      </c>
      <c r="Q97" s="302">
        <v>0</v>
      </c>
      <c r="R97" s="77">
        <v>1.68</v>
      </c>
      <c r="S97" s="307"/>
      <c r="T97" s="77">
        <v>1.68</v>
      </c>
      <c r="U97" s="306"/>
      <c r="V97" s="88" t="s">
        <v>53</v>
      </c>
      <c r="W97" s="313" t="s">
        <v>77</v>
      </c>
      <c r="X97" s="88" t="s">
        <v>29</v>
      </c>
      <c r="Y97" s="305"/>
      <c r="Z97" s="306"/>
      <c r="AA97" s="306"/>
      <c r="AB97" s="337"/>
    </row>
    <row r="98" spans="2:28" ht="15.75">
      <c r="B98" s="22" t="s">
        <v>746</v>
      </c>
      <c r="C98" s="23" t="s">
        <v>747</v>
      </c>
      <c r="D98" s="315"/>
      <c r="E98" s="315"/>
      <c r="F98" s="316"/>
      <c r="G98" s="317"/>
      <c r="H98" s="316"/>
      <c r="I98" s="317"/>
      <c r="J98" s="54"/>
      <c r="K98" s="54"/>
      <c r="L98" s="54"/>
      <c r="M98" s="54"/>
      <c r="N98" s="316"/>
      <c r="O98" s="316"/>
      <c r="P98" s="316"/>
      <c r="Q98" s="316"/>
      <c r="R98" s="318"/>
      <c r="S98" s="317"/>
      <c r="T98" s="318"/>
      <c r="U98" s="317"/>
      <c r="V98" s="319"/>
      <c r="W98" s="319"/>
      <c r="X98" s="319"/>
      <c r="Y98" s="316"/>
      <c r="Z98" s="317"/>
      <c r="AA98" s="317"/>
      <c r="AB98" s="320"/>
    </row>
    <row r="99" spans="2:28" ht="15.75">
      <c r="B99" s="22" t="s">
        <v>748</v>
      </c>
      <c r="C99" s="23" t="s">
        <v>749</v>
      </c>
      <c r="D99" s="315"/>
      <c r="E99" s="315"/>
      <c r="F99" s="316"/>
      <c r="G99" s="317"/>
      <c r="H99" s="317"/>
      <c r="I99" s="317"/>
      <c r="J99" s="54"/>
      <c r="K99" s="54"/>
      <c r="L99" s="54"/>
      <c r="M99" s="54"/>
      <c r="N99" s="316"/>
      <c r="O99" s="316"/>
      <c r="P99" s="316"/>
      <c r="Q99" s="316"/>
      <c r="R99" s="318"/>
      <c r="S99" s="317"/>
      <c r="T99" s="318"/>
      <c r="U99" s="317"/>
      <c r="V99" s="319"/>
      <c r="W99" s="319"/>
      <c r="X99" s="319"/>
      <c r="Y99" s="316"/>
      <c r="Z99" s="317"/>
      <c r="AA99" s="317"/>
      <c r="AB99" s="320"/>
    </row>
    <row r="100" spans="2:28" ht="15.75">
      <c r="B100" s="86"/>
      <c r="C100" s="45"/>
      <c r="D100" s="312"/>
      <c r="E100" s="312"/>
      <c r="F100" s="322"/>
      <c r="G100" s="323"/>
      <c r="H100" s="323"/>
      <c r="I100" s="323"/>
      <c r="J100" s="29"/>
      <c r="K100" s="29"/>
      <c r="L100" s="76"/>
      <c r="M100" s="76"/>
      <c r="N100" s="292"/>
      <c r="O100" s="292"/>
      <c r="P100" s="312"/>
      <c r="Q100" s="312"/>
      <c r="R100" s="77"/>
      <c r="S100" s="338"/>
      <c r="T100" s="77"/>
      <c r="U100" s="323"/>
      <c r="V100" s="325"/>
      <c r="W100" s="325"/>
      <c r="X100" s="339"/>
      <c r="Y100" s="322"/>
      <c r="Z100" s="323"/>
      <c r="AA100" s="323"/>
      <c r="AB100" s="326"/>
    </row>
    <row r="101" spans="2:28" ht="15.75">
      <c r="B101" s="80" t="s">
        <v>750</v>
      </c>
      <c r="C101" s="340" t="s">
        <v>751</v>
      </c>
      <c r="D101" s="315"/>
      <c r="E101" s="315"/>
      <c r="F101" s="316"/>
      <c r="G101" s="317"/>
      <c r="H101" s="316"/>
      <c r="I101" s="317"/>
      <c r="J101" s="54"/>
      <c r="K101" s="54"/>
      <c r="L101" s="54"/>
      <c r="M101" s="54"/>
      <c r="N101" s="316"/>
      <c r="O101" s="316"/>
      <c r="P101" s="316"/>
      <c r="Q101" s="316"/>
      <c r="R101" s="318"/>
      <c r="S101" s="317"/>
      <c r="T101" s="318"/>
      <c r="U101" s="317"/>
      <c r="V101" s="319"/>
      <c r="W101" s="319"/>
      <c r="X101" s="319"/>
      <c r="Y101" s="316"/>
      <c r="Z101" s="317"/>
      <c r="AA101" s="317"/>
      <c r="AB101" s="320"/>
    </row>
    <row r="102" spans="2:28" ht="15.75">
      <c r="B102" s="86"/>
      <c r="C102" s="45"/>
      <c r="D102" s="302"/>
      <c r="E102" s="302"/>
      <c r="F102" s="305"/>
      <c r="G102" s="306"/>
      <c r="H102" s="306"/>
      <c r="I102" s="306"/>
      <c r="J102" s="29"/>
      <c r="K102" s="29"/>
      <c r="L102" s="76"/>
      <c r="M102" s="76"/>
      <c r="N102" s="122"/>
      <c r="O102" s="122"/>
      <c r="P102" s="302"/>
      <c r="Q102" s="302"/>
      <c r="R102" s="77"/>
      <c r="S102" s="307"/>
      <c r="T102" s="77"/>
      <c r="U102" s="323"/>
      <c r="V102" s="341"/>
      <c r="W102" s="342"/>
      <c r="X102" s="341"/>
      <c r="Y102" s="322"/>
      <c r="Z102" s="323"/>
      <c r="AA102" s="323"/>
      <c r="AB102" s="326"/>
    </row>
    <row r="103" spans="2:28" ht="15.75">
      <c r="B103" s="80" t="s">
        <v>752</v>
      </c>
      <c r="C103" s="340" t="s">
        <v>753</v>
      </c>
      <c r="D103" s="315"/>
      <c r="E103" s="315"/>
      <c r="F103" s="316"/>
      <c r="G103" s="317"/>
      <c r="H103" s="316"/>
      <c r="I103" s="317"/>
      <c r="J103" s="54"/>
      <c r="K103" s="54"/>
      <c r="L103" s="54"/>
      <c r="M103" s="54"/>
      <c r="N103" s="316"/>
      <c r="O103" s="316"/>
      <c r="P103" s="316"/>
      <c r="Q103" s="316"/>
      <c r="R103" s="318"/>
      <c r="S103" s="317"/>
      <c r="T103" s="318"/>
      <c r="U103" s="317"/>
      <c r="V103" s="319"/>
      <c r="W103" s="319"/>
      <c r="X103" s="319"/>
      <c r="Y103" s="316"/>
      <c r="Z103" s="317"/>
      <c r="AA103" s="317"/>
      <c r="AB103" s="320"/>
    </row>
    <row r="104" spans="1:28" s="347" customFormat="1" ht="15.75">
      <c r="A104" s="343"/>
      <c r="B104" s="86"/>
      <c r="C104" s="43"/>
      <c r="D104" s="44"/>
      <c r="E104" s="44"/>
      <c r="F104" s="344"/>
      <c r="G104" s="345"/>
      <c r="H104" s="344"/>
      <c r="I104" s="345"/>
      <c r="J104" s="29"/>
      <c r="K104" s="29"/>
      <c r="L104" s="76"/>
      <c r="M104" s="76"/>
      <c r="N104" s="122"/>
      <c r="O104" s="122"/>
      <c r="P104" s="302"/>
      <c r="Q104" s="302"/>
      <c r="R104" s="77"/>
      <c r="S104" s="345"/>
      <c r="T104" s="77"/>
      <c r="U104" s="345"/>
      <c r="V104" s="342"/>
      <c r="W104" s="342"/>
      <c r="X104" s="342"/>
      <c r="Y104" s="344"/>
      <c r="Z104" s="345"/>
      <c r="AA104" s="345"/>
      <c r="AB104" s="346"/>
    </row>
    <row r="105" spans="1:28" s="347" customFormat="1" ht="60">
      <c r="A105" s="343"/>
      <c r="B105" s="348" t="s">
        <v>832</v>
      </c>
      <c r="C105" s="349" t="s">
        <v>755</v>
      </c>
      <c r="D105" s="350" t="s">
        <v>24</v>
      </c>
      <c r="E105" s="351" t="s">
        <v>564</v>
      </c>
      <c r="F105" s="352"/>
      <c r="G105" s="353"/>
      <c r="H105" s="352"/>
      <c r="I105" s="353"/>
      <c r="J105" s="354">
        <v>2017</v>
      </c>
      <c r="K105" s="354">
        <v>2019</v>
      </c>
      <c r="L105" s="92" t="s">
        <v>26</v>
      </c>
      <c r="M105" s="92" t="s">
        <v>26</v>
      </c>
      <c r="N105" s="355" t="s">
        <v>26</v>
      </c>
      <c r="O105" s="355" t="s">
        <v>26</v>
      </c>
      <c r="P105" s="350">
        <v>0</v>
      </c>
      <c r="Q105" s="350">
        <v>0</v>
      </c>
      <c r="R105" s="356">
        <f>'приложение 1.1'!I107</f>
        <v>20.25</v>
      </c>
      <c r="S105" s="353"/>
      <c r="T105" s="356">
        <f>'приложение 1.1'!I107</f>
        <v>20.25</v>
      </c>
      <c r="U105" s="353"/>
      <c r="V105" s="357" t="s">
        <v>78</v>
      </c>
      <c r="W105" s="357" t="s">
        <v>79</v>
      </c>
      <c r="X105" s="357" t="s">
        <v>79</v>
      </c>
      <c r="Y105" s="352"/>
      <c r="Z105" s="353"/>
      <c r="AA105" s="353"/>
      <c r="AB105" s="358"/>
    </row>
    <row r="106" ht="39.75" customHeight="1"/>
    <row r="107" spans="3:28" ht="12.75" customHeight="1">
      <c r="C107" s="573" t="s">
        <v>80</v>
      </c>
      <c r="D107" s="573"/>
      <c r="E107" s="573"/>
      <c r="F107" s="573"/>
      <c r="G107" s="573"/>
      <c r="H107" s="573"/>
      <c r="I107" s="573"/>
      <c r="J107" s="573"/>
      <c r="K107" s="573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</row>
    <row r="108" ht="15.75">
      <c r="C108" s="286" t="s">
        <v>81</v>
      </c>
    </row>
    <row r="109" ht="15.75">
      <c r="C109" s="286" t="s">
        <v>111</v>
      </c>
    </row>
    <row r="110" ht="15.75">
      <c r="C110" s="286" t="s">
        <v>112</v>
      </c>
    </row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</sheetData>
  <sheetProtection selectLockedCells="1" selectUnlockedCells="1"/>
  <mergeCells count="36">
    <mergeCell ref="B6:AB6"/>
    <mergeCell ref="Z10:AB10"/>
    <mergeCell ref="AA11:AB11"/>
    <mergeCell ref="B14:B16"/>
    <mergeCell ref="C14:C16"/>
    <mergeCell ref="D14:D16"/>
    <mergeCell ref="E14:E16"/>
    <mergeCell ref="F14:H14"/>
    <mergeCell ref="I14:I16"/>
    <mergeCell ref="J14:K14"/>
    <mergeCell ref="L14:O14"/>
    <mergeCell ref="P14:P16"/>
    <mergeCell ref="Q14:Q16"/>
    <mergeCell ref="R14:S14"/>
    <mergeCell ref="N15:N16"/>
    <mergeCell ref="O15:O16"/>
    <mergeCell ref="R15:R16"/>
    <mergeCell ref="S15:S16"/>
    <mergeCell ref="T14:U14"/>
    <mergeCell ref="V14:X14"/>
    <mergeCell ref="Y14:AB14"/>
    <mergeCell ref="F15:F16"/>
    <mergeCell ref="G15:G16"/>
    <mergeCell ref="H15:H16"/>
    <mergeCell ref="J15:J16"/>
    <mergeCell ref="K15:K16"/>
    <mergeCell ref="L15:L16"/>
    <mergeCell ref="M15:M16"/>
    <mergeCell ref="X15:X16"/>
    <mergeCell ref="Y15:Z15"/>
    <mergeCell ref="AA15:AB15"/>
    <mergeCell ref="C107:K107"/>
    <mergeCell ref="T15:T16"/>
    <mergeCell ref="U15:U16"/>
    <mergeCell ref="V15:V16"/>
    <mergeCell ref="W15:W16"/>
  </mergeCells>
  <printOptions/>
  <pageMargins left="0.13333333333333333" right="0.2" top="0.46" bottom="0.56" header="0.56" footer="0.66"/>
  <pageSetup horizontalDpi="600" verticalDpi="600" orientation="landscape" paperSize="8" scale="43" r:id="rId1"/>
  <rowBreaks count="6" manualBreakCount="6">
    <brk id="27" max="255" man="1"/>
    <brk id="39" max="255" man="1"/>
    <brk id="52" max="255" man="1"/>
    <brk id="64" max="255" man="1"/>
    <brk id="7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N331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5.75"/>
  <cols>
    <col min="1" max="1" width="4.50390625" style="3" customWidth="1"/>
    <col min="2" max="2" width="36.375" style="3" customWidth="1"/>
    <col min="3" max="3" width="12.625" style="3" customWidth="1"/>
    <col min="4" max="4" width="12.875" style="3" customWidth="1"/>
    <col min="5" max="6" width="0" style="3" hidden="1" customWidth="1"/>
    <col min="7" max="7" width="13.00390625" style="3" customWidth="1"/>
    <col min="8" max="8" width="23.125" style="3" customWidth="1"/>
    <col min="9" max="12" width="9.00390625" style="8" customWidth="1"/>
    <col min="13" max="13" width="13.00390625" style="8" customWidth="1"/>
    <col min="14" max="14" width="9.00390625" style="8" customWidth="1"/>
    <col min="15" max="16384" width="9.00390625" style="3" customWidth="1"/>
  </cols>
  <sheetData>
    <row r="2" ht="15.75">
      <c r="H2" s="6" t="s">
        <v>113</v>
      </c>
    </row>
    <row r="3" ht="15.75">
      <c r="H3" s="6" t="s">
        <v>114</v>
      </c>
    </row>
    <row r="4" ht="15.75">
      <c r="H4" s="6" t="s">
        <v>115</v>
      </c>
    </row>
    <row r="5" ht="15.75">
      <c r="H5" s="6"/>
    </row>
    <row r="6" spans="1:12" ht="18.75" customHeight="1">
      <c r="A6" s="622" t="s">
        <v>116</v>
      </c>
      <c r="B6" s="622"/>
      <c r="C6" s="622"/>
      <c r="D6" s="622"/>
      <c r="E6" s="622"/>
      <c r="F6" s="622"/>
      <c r="G6" s="622"/>
      <c r="H6" s="622"/>
      <c r="I6" s="360"/>
      <c r="J6" s="360"/>
      <c r="K6" s="360"/>
      <c r="L6" s="360"/>
    </row>
    <row r="7" spans="1:12" ht="18.75" customHeight="1">
      <c r="A7" s="622" t="s">
        <v>117</v>
      </c>
      <c r="B7" s="622"/>
      <c r="C7" s="622"/>
      <c r="D7" s="622"/>
      <c r="E7" s="622"/>
      <c r="F7" s="622"/>
      <c r="G7" s="622"/>
      <c r="H7" s="622"/>
      <c r="I7" s="360"/>
      <c r="J7" s="360"/>
      <c r="K7" s="360"/>
      <c r="L7" s="360"/>
    </row>
    <row r="8" ht="15.75">
      <c r="H8" s="6" t="s">
        <v>562</v>
      </c>
    </row>
    <row r="9" ht="15.75">
      <c r="H9" s="6" t="s">
        <v>769</v>
      </c>
    </row>
    <row r="10" ht="15.75">
      <c r="H10" s="6" t="s">
        <v>770</v>
      </c>
    </row>
    <row r="11" ht="15.75">
      <c r="H11" s="361" t="s">
        <v>118</v>
      </c>
    </row>
    <row r="12" ht="15.75">
      <c r="H12" s="6" t="s">
        <v>772</v>
      </c>
    </row>
    <row r="13" ht="15.75">
      <c r="H13" s="6" t="s">
        <v>567</v>
      </c>
    </row>
    <row r="14" spans="1:12" ht="15.75">
      <c r="A14" s="362"/>
      <c r="L14" s="363"/>
    </row>
    <row r="15" spans="1:12" ht="15.75">
      <c r="A15" s="343" t="s">
        <v>119</v>
      </c>
      <c r="L15" s="363"/>
    </row>
    <row r="16" spans="1:12" ht="18.75" customHeight="1">
      <c r="A16" s="623" t="s">
        <v>120</v>
      </c>
      <c r="B16" s="623"/>
      <c r="C16" s="623"/>
      <c r="D16" s="623"/>
      <c r="E16" s="623"/>
      <c r="F16" s="623"/>
      <c r="G16" s="623"/>
      <c r="H16" s="623"/>
      <c r="I16" s="365"/>
      <c r="J16" s="365"/>
      <c r="L16" s="363"/>
    </row>
    <row r="17" spans="1:12" ht="15.75">
      <c r="A17" s="364"/>
      <c r="B17" s="364"/>
      <c r="C17" s="366"/>
      <c r="D17" s="366"/>
      <c r="E17" s="366"/>
      <c r="F17" s="366"/>
      <c r="G17" s="366"/>
      <c r="H17" s="366"/>
      <c r="I17" s="365"/>
      <c r="J17" s="365"/>
      <c r="L17" s="363"/>
    </row>
    <row r="18" spans="1:8" ht="16.5" customHeight="1">
      <c r="A18" s="581" t="s">
        <v>121</v>
      </c>
      <c r="B18" s="559" t="s">
        <v>122</v>
      </c>
      <c r="C18" s="560" t="s">
        <v>123</v>
      </c>
      <c r="D18" s="560"/>
      <c r="E18" s="560"/>
      <c r="F18" s="560"/>
      <c r="G18" s="561" t="s">
        <v>124</v>
      </c>
      <c r="H18" s="581" t="s">
        <v>125</v>
      </c>
    </row>
    <row r="19" spans="1:8" ht="15.75">
      <c r="A19" s="581"/>
      <c r="B19" s="559"/>
      <c r="C19" s="560"/>
      <c r="D19" s="560"/>
      <c r="E19" s="560"/>
      <c r="F19" s="560"/>
      <c r="G19" s="561"/>
      <c r="H19" s="581"/>
    </row>
    <row r="20" spans="1:8" ht="31.5">
      <c r="A20" s="581"/>
      <c r="B20" s="559"/>
      <c r="C20" s="369" t="s">
        <v>126</v>
      </c>
      <c r="D20" s="369" t="s">
        <v>127</v>
      </c>
      <c r="E20" s="370" t="s">
        <v>126</v>
      </c>
      <c r="F20" s="371" t="s">
        <v>127</v>
      </c>
      <c r="G20" s="561"/>
      <c r="H20" s="581"/>
    </row>
    <row r="21" spans="1:8" ht="15.75">
      <c r="A21" s="367">
        <v>1</v>
      </c>
      <c r="B21" s="367">
        <v>2</v>
      </c>
      <c r="C21" s="372">
        <v>3</v>
      </c>
      <c r="D21" s="372">
        <v>4</v>
      </c>
      <c r="E21" s="373"/>
      <c r="F21" s="374"/>
      <c r="G21" s="368">
        <v>5</v>
      </c>
      <c r="H21" s="367">
        <v>6</v>
      </c>
    </row>
    <row r="22" spans="1:8" ht="18.75" customHeight="1">
      <c r="A22" s="375">
        <v>1</v>
      </c>
      <c r="B22" s="582" t="s">
        <v>128</v>
      </c>
      <c r="C22" s="582"/>
      <c r="D22" s="582"/>
      <c r="E22" s="582"/>
      <c r="F22" s="582"/>
      <c r="G22" s="582"/>
      <c r="H22" s="582"/>
    </row>
    <row r="23" spans="1:8" ht="15.75">
      <c r="A23" s="376" t="s">
        <v>594</v>
      </c>
      <c r="B23" s="377" t="s">
        <v>129</v>
      </c>
      <c r="C23" s="378" t="s">
        <v>26</v>
      </c>
      <c r="D23" s="378" t="s">
        <v>26</v>
      </c>
      <c r="E23" s="378" t="s">
        <v>26</v>
      </c>
      <c r="F23" s="378" t="s">
        <v>26</v>
      </c>
      <c r="G23" s="378" t="s">
        <v>26</v>
      </c>
      <c r="H23" s="379" t="s">
        <v>130</v>
      </c>
    </row>
    <row r="24" spans="1:14" s="98" customFormat="1" ht="15.75">
      <c r="A24" s="376" t="s">
        <v>735</v>
      </c>
      <c r="B24" s="377" t="s">
        <v>131</v>
      </c>
      <c r="C24" s="378" t="s">
        <v>26</v>
      </c>
      <c r="D24" s="378" t="s">
        <v>26</v>
      </c>
      <c r="E24" s="378" t="s">
        <v>26</v>
      </c>
      <c r="F24" s="378" t="s">
        <v>26</v>
      </c>
      <c r="G24" s="378" t="s">
        <v>26</v>
      </c>
      <c r="H24" s="379" t="s">
        <v>130</v>
      </c>
      <c r="I24" s="380"/>
      <c r="J24" s="380"/>
      <c r="K24" s="380"/>
      <c r="L24" s="380"/>
      <c r="M24" s="380"/>
      <c r="N24" s="380"/>
    </row>
    <row r="25" spans="1:14" s="98" customFormat="1" ht="31.5">
      <c r="A25" s="376" t="s">
        <v>737</v>
      </c>
      <c r="B25" s="381" t="s">
        <v>132</v>
      </c>
      <c r="C25" s="566" t="s">
        <v>82</v>
      </c>
      <c r="D25" s="566" t="s">
        <v>83</v>
      </c>
      <c r="E25" s="378" t="s">
        <v>26</v>
      </c>
      <c r="F25" s="378" t="s">
        <v>26</v>
      </c>
      <c r="G25" s="378" t="s">
        <v>26</v>
      </c>
      <c r="H25" s="379" t="s">
        <v>130</v>
      </c>
      <c r="I25" s="380"/>
      <c r="J25" s="380"/>
      <c r="K25" s="380"/>
      <c r="L25" s="380"/>
      <c r="M25" s="380"/>
      <c r="N25" s="380"/>
    </row>
    <row r="26" spans="1:14" s="98" customFormat="1" ht="47.25">
      <c r="A26" s="376" t="s">
        <v>739</v>
      </c>
      <c r="B26" s="381" t="s">
        <v>133</v>
      </c>
      <c r="C26" s="566" t="s">
        <v>84</v>
      </c>
      <c r="D26" s="566" t="s">
        <v>85</v>
      </c>
      <c r="E26" s="378" t="s">
        <v>26</v>
      </c>
      <c r="F26" s="378" t="s">
        <v>26</v>
      </c>
      <c r="G26" s="378" t="s">
        <v>26</v>
      </c>
      <c r="H26" s="379" t="s">
        <v>130</v>
      </c>
      <c r="I26" s="380"/>
      <c r="J26" s="380"/>
      <c r="K26" s="380"/>
      <c r="L26" s="380"/>
      <c r="M26" s="380"/>
      <c r="N26" s="380"/>
    </row>
    <row r="27" spans="1:14" s="98" customFormat="1" ht="15.75">
      <c r="A27" s="376" t="s">
        <v>852</v>
      </c>
      <c r="B27" s="382" t="s">
        <v>134</v>
      </c>
      <c r="C27" s="566" t="s">
        <v>86</v>
      </c>
      <c r="D27" s="566" t="s">
        <v>87</v>
      </c>
      <c r="E27" s="378" t="s">
        <v>26</v>
      </c>
      <c r="F27" s="378" t="s">
        <v>26</v>
      </c>
      <c r="G27" s="378" t="s">
        <v>26</v>
      </c>
      <c r="H27" s="379" t="s">
        <v>130</v>
      </c>
      <c r="I27" s="380"/>
      <c r="J27" s="380"/>
      <c r="K27" s="380"/>
      <c r="L27" s="380"/>
      <c r="M27" s="380"/>
      <c r="N27" s="380"/>
    </row>
    <row r="28" spans="1:14" s="98" customFormat="1" ht="15.75">
      <c r="A28" s="376" t="s">
        <v>853</v>
      </c>
      <c r="B28" s="382" t="s">
        <v>135</v>
      </c>
      <c r="C28" s="566" t="s">
        <v>82</v>
      </c>
      <c r="D28" s="566" t="s">
        <v>174</v>
      </c>
      <c r="E28" s="378" t="s">
        <v>26</v>
      </c>
      <c r="F28" s="378" t="s">
        <v>26</v>
      </c>
      <c r="G28" s="378" t="s">
        <v>26</v>
      </c>
      <c r="H28" s="379" t="s">
        <v>130</v>
      </c>
      <c r="I28" s="380"/>
      <c r="J28" s="380"/>
      <c r="K28" s="380"/>
      <c r="L28" s="380"/>
      <c r="M28" s="380"/>
      <c r="N28" s="380"/>
    </row>
    <row r="29" spans="1:14" s="98" customFormat="1" ht="18.75" customHeight="1">
      <c r="A29" s="376">
        <v>2</v>
      </c>
      <c r="B29" s="579" t="s">
        <v>136</v>
      </c>
      <c r="C29" s="579"/>
      <c r="D29" s="579"/>
      <c r="E29" s="579"/>
      <c r="F29" s="579"/>
      <c r="G29" s="579"/>
      <c r="H29" s="579"/>
      <c r="I29" s="380"/>
      <c r="J29" s="380"/>
      <c r="K29" s="380"/>
      <c r="L29" s="380"/>
      <c r="M29" s="380"/>
      <c r="N29" s="380"/>
    </row>
    <row r="30" spans="1:14" s="98" customFormat="1" ht="31.5">
      <c r="A30" s="376" t="s">
        <v>743</v>
      </c>
      <c r="B30" s="381" t="s">
        <v>137</v>
      </c>
      <c r="C30" s="378" t="s">
        <v>138</v>
      </c>
      <c r="D30" s="378" t="s">
        <v>139</v>
      </c>
      <c r="E30" s="378" t="s">
        <v>26</v>
      </c>
      <c r="F30" s="378" t="s">
        <v>26</v>
      </c>
      <c r="G30" s="383">
        <v>0</v>
      </c>
      <c r="H30" s="379"/>
      <c r="I30" s="380"/>
      <c r="J30" s="380"/>
      <c r="K30" s="380"/>
      <c r="L30" s="380"/>
      <c r="M30" s="380"/>
      <c r="N30" s="380"/>
    </row>
    <row r="31" spans="1:14" s="98" customFormat="1" ht="47.25">
      <c r="A31" s="376" t="s">
        <v>746</v>
      </c>
      <c r="B31" s="381" t="s">
        <v>140</v>
      </c>
      <c r="C31" s="378" t="s">
        <v>26</v>
      </c>
      <c r="D31" s="378" t="s">
        <v>26</v>
      </c>
      <c r="E31" s="378" t="s">
        <v>26</v>
      </c>
      <c r="F31" s="378" t="s">
        <v>26</v>
      </c>
      <c r="G31" s="378" t="s">
        <v>26</v>
      </c>
      <c r="H31" s="379" t="s">
        <v>130</v>
      </c>
      <c r="I31" s="380"/>
      <c r="J31" s="380"/>
      <c r="K31" s="380"/>
      <c r="L31" s="380"/>
      <c r="M31" s="380"/>
      <c r="N31" s="380"/>
    </row>
    <row r="32" spans="1:14" s="98" customFormat="1" ht="31.5">
      <c r="A32" s="376" t="s">
        <v>141</v>
      </c>
      <c r="B32" s="381" t="s">
        <v>142</v>
      </c>
      <c r="C32" s="378" t="s">
        <v>26</v>
      </c>
      <c r="D32" s="378" t="s">
        <v>26</v>
      </c>
      <c r="E32" s="378" t="s">
        <v>26</v>
      </c>
      <c r="F32" s="378" t="s">
        <v>26</v>
      </c>
      <c r="G32" s="378" t="s">
        <v>26</v>
      </c>
      <c r="H32" s="379" t="s">
        <v>130</v>
      </c>
      <c r="I32" s="380"/>
      <c r="J32" s="380"/>
      <c r="K32" s="380"/>
      <c r="L32" s="380"/>
      <c r="M32" s="380"/>
      <c r="N32" s="380"/>
    </row>
    <row r="33" spans="1:14" s="98" customFormat="1" ht="18.75" customHeight="1">
      <c r="A33" s="376">
        <v>3</v>
      </c>
      <c r="B33" s="579" t="s">
        <v>143</v>
      </c>
      <c r="C33" s="579"/>
      <c r="D33" s="579"/>
      <c r="E33" s="579"/>
      <c r="F33" s="579"/>
      <c r="G33" s="579"/>
      <c r="H33" s="579"/>
      <c r="I33" s="380"/>
      <c r="J33" s="380"/>
      <c r="K33" s="380"/>
      <c r="L33" s="380"/>
      <c r="M33" s="380"/>
      <c r="N33" s="380"/>
    </row>
    <row r="34" spans="1:14" s="98" customFormat="1" ht="31.5">
      <c r="A34" s="376" t="s">
        <v>756</v>
      </c>
      <c r="B34" s="382" t="s">
        <v>144</v>
      </c>
      <c r="C34" s="378" t="s">
        <v>26</v>
      </c>
      <c r="D34" s="378" t="s">
        <v>26</v>
      </c>
      <c r="E34" s="378" t="s">
        <v>26</v>
      </c>
      <c r="F34" s="378" t="s">
        <v>26</v>
      </c>
      <c r="G34" s="378" t="s">
        <v>26</v>
      </c>
      <c r="H34" s="379" t="s">
        <v>130</v>
      </c>
      <c r="I34" s="380"/>
      <c r="J34" s="380"/>
      <c r="K34" s="380"/>
      <c r="L34" s="380"/>
      <c r="M34" s="380"/>
      <c r="N34" s="380"/>
    </row>
    <row r="35" spans="1:14" s="98" customFormat="1" ht="15.75">
      <c r="A35" s="376" t="s">
        <v>757</v>
      </c>
      <c r="B35" s="382" t="s">
        <v>145</v>
      </c>
      <c r="C35" s="378" t="s">
        <v>138</v>
      </c>
      <c r="D35" s="378" t="s">
        <v>146</v>
      </c>
      <c r="E35" s="378" t="s">
        <v>26</v>
      </c>
      <c r="F35" s="378" t="s">
        <v>26</v>
      </c>
      <c r="G35" s="383">
        <v>0</v>
      </c>
      <c r="H35" s="379"/>
      <c r="I35" s="380"/>
      <c r="J35" s="380"/>
      <c r="K35" s="380"/>
      <c r="L35" s="380"/>
      <c r="M35" s="380"/>
      <c r="N35" s="380"/>
    </row>
    <row r="36" spans="1:14" s="98" customFormat="1" ht="15.75">
      <c r="A36" s="376" t="s">
        <v>147</v>
      </c>
      <c r="B36" s="382" t="s">
        <v>148</v>
      </c>
      <c r="C36" s="378" t="s">
        <v>149</v>
      </c>
      <c r="D36" s="378" t="s">
        <v>150</v>
      </c>
      <c r="E36" s="378" t="s">
        <v>26</v>
      </c>
      <c r="F36" s="378" t="s">
        <v>26</v>
      </c>
      <c r="G36" s="383">
        <v>0</v>
      </c>
      <c r="H36" s="379"/>
      <c r="I36" s="380"/>
      <c r="J36" s="380"/>
      <c r="K36" s="380"/>
      <c r="L36" s="380"/>
      <c r="M36" s="380"/>
      <c r="N36" s="380"/>
    </row>
    <row r="37" spans="1:14" s="98" customFormat="1" ht="15.75">
      <c r="A37" s="376" t="s">
        <v>151</v>
      </c>
      <c r="B37" s="382" t="s">
        <v>152</v>
      </c>
      <c r="C37" s="378" t="s">
        <v>153</v>
      </c>
      <c r="D37" s="378" t="s">
        <v>154</v>
      </c>
      <c r="E37" s="378" t="s">
        <v>26</v>
      </c>
      <c r="F37" s="378" t="s">
        <v>26</v>
      </c>
      <c r="G37" s="383">
        <v>0</v>
      </c>
      <c r="H37" s="379"/>
      <c r="I37" s="380"/>
      <c r="J37" s="380"/>
      <c r="K37" s="380"/>
      <c r="L37" s="380"/>
      <c r="M37" s="380"/>
      <c r="N37" s="380"/>
    </row>
    <row r="38" spans="1:14" s="98" customFormat="1" ht="15.75">
      <c r="A38" s="376" t="s">
        <v>155</v>
      </c>
      <c r="B38" s="382" t="s">
        <v>156</v>
      </c>
      <c r="C38" s="378" t="s">
        <v>157</v>
      </c>
      <c r="D38" s="378" t="s">
        <v>158</v>
      </c>
      <c r="E38" s="378" t="s">
        <v>26</v>
      </c>
      <c r="F38" s="378" t="s">
        <v>26</v>
      </c>
      <c r="G38" s="383">
        <v>0</v>
      </c>
      <c r="H38" s="379"/>
      <c r="I38" s="380"/>
      <c r="J38" s="380"/>
      <c r="K38" s="380"/>
      <c r="L38" s="380"/>
      <c r="M38" s="380"/>
      <c r="N38" s="380"/>
    </row>
    <row r="39" spans="1:14" s="98" customFormat="1" ht="18.75" customHeight="1">
      <c r="A39" s="376">
        <v>4</v>
      </c>
      <c r="B39" s="579" t="s">
        <v>159</v>
      </c>
      <c r="C39" s="579"/>
      <c r="D39" s="579"/>
      <c r="E39" s="579"/>
      <c r="F39" s="579"/>
      <c r="G39" s="579"/>
      <c r="H39" s="579"/>
      <c r="I39" s="380"/>
      <c r="J39" s="380"/>
      <c r="K39" s="380"/>
      <c r="L39" s="380"/>
      <c r="M39" s="380"/>
      <c r="N39" s="380"/>
    </row>
    <row r="40" spans="1:14" s="98" customFormat="1" ht="31.5">
      <c r="A40" s="376" t="s">
        <v>160</v>
      </c>
      <c r="B40" s="381" t="s">
        <v>161</v>
      </c>
      <c r="C40" s="378" t="s">
        <v>26</v>
      </c>
      <c r="D40" s="378" t="s">
        <v>26</v>
      </c>
      <c r="E40" s="378" t="s">
        <v>26</v>
      </c>
      <c r="F40" s="378" t="s">
        <v>26</v>
      </c>
      <c r="G40" s="378" t="s">
        <v>26</v>
      </c>
      <c r="H40" s="379" t="s">
        <v>130</v>
      </c>
      <c r="I40" s="380"/>
      <c r="J40" s="380"/>
      <c r="K40" s="380"/>
      <c r="L40" s="380"/>
      <c r="M40" s="380"/>
      <c r="N40" s="380"/>
    </row>
    <row r="41" spans="1:14" s="98" customFormat="1" ht="47.25">
      <c r="A41" s="376" t="s">
        <v>162</v>
      </c>
      <c r="B41" s="381" t="s">
        <v>163</v>
      </c>
      <c r="C41" s="378" t="s">
        <v>26</v>
      </c>
      <c r="D41" s="378" t="s">
        <v>26</v>
      </c>
      <c r="E41" s="378" t="s">
        <v>26</v>
      </c>
      <c r="F41" s="378" t="s">
        <v>26</v>
      </c>
      <c r="G41" s="378" t="s">
        <v>26</v>
      </c>
      <c r="H41" s="379" t="s">
        <v>130</v>
      </c>
      <c r="I41" s="380"/>
      <c r="J41" s="380"/>
      <c r="K41" s="380"/>
      <c r="L41" s="380"/>
      <c r="M41" s="380"/>
      <c r="N41" s="380"/>
    </row>
    <row r="42" spans="1:14" s="98" customFormat="1" ht="31.5">
      <c r="A42" s="376" t="s">
        <v>164</v>
      </c>
      <c r="B42" s="382" t="s">
        <v>165</v>
      </c>
      <c r="C42" s="378" t="s">
        <v>26</v>
      </c>
      <c r="D42" s="378" t="s">
        <v>26</v>
      </c>
      <c r="E42" s="378" t="s">
        <v>26</v>
      </c>
      <c r="F42" s="378" t="s">
        <v>26</v>
      </c>
      <c r="G42" s="378" t="s">
        <v>26</v>
      </c>
      <c r="H42" s="379" t="s">
        <v>130</v>
      </c>
      <c r="I42" s="380"/>
      <c r="J42" s="380"/>
      <c r="K42" s="380"/>
      <c r="L42" s="380"/>
      <c r="M42" s="380"/>
      <c r="N42" s="380"/>
    </row>
    <row r="43" spans="1:14" s="98" customFormat="1" ht="31.5">
      <c r="A43" s="384" t="s">
        <v>166</v>
      </c>
      <c r="B43" s="385" t="s">
        <v>167</v>
      </c>
      <c r="C43" s="386" t="s">
        <v>26</v>
      </c>
      <c r="D43" s="386" t="s">
        <v>26</v>
      </c>
      <c r="E43" s="386" t="s">
        <v>26</v>
      </c>
      <c r="F43" s="386" t="s">
        <v>26</v>
      </c>
      <c r="G43" s="386" t="s">
        <v>26</v>
      </c>
      <c r="H43" s="387" t="s">
        <v>130</v>
      </c>
      <c r="I43" s="380"/>
      <c r="J43" s="380"/>
      <c r="K43" s="380"/>
      <c r="L43" s="380"/>
      <c r="M43" s="380"/>
      <c r="N43" s="380"/>
    </row>
    <row r="44" spans="1:14" s="98" customFormat="1" ht="15.75">
      <c r="A44" s="388"/>
      <c r="B44" s="389"/>
      <c r="C44" s="390"/>
      <c r="D44" s="390"/>
      <c r="E44" s="390"/>
      <c r="F44" s="390"/>
      <c r="G44" s="390"/>
      <c r="I44" s="380"/>
      <c r="J44" s="380"/>
      <c r="K44" s="380"/>
      <c r="L44" s="380"/>
      <c r="M44" s="380"/>
      <c r="N44" s="380"/>
    </row>
    <row r="45" spans="1:14" s="98" customFormat="1" ht="18.75" customHeight="1">
      <c r="A45" s="580" t="s">
        <v>168</v>
      </c>
      <c r="B45" s="580"/>
      <c r="C45" s="580"/>
      <c r="D45" s="580"/>
      <c r="E45" s="580"/>
      <c r="F45" s="580"/>
      <c r="G45" s="580"/>
      <c r="H45" s="580"/>
      <c r="I45" s="380"/>
      <c r="J45" s="380"/>
      <c r="K45" s="380"/>
      <c r="L45" s="380"/>
      <c r="M45" s="380"/>
      <c r="N45" s="380"/>
    </row>
    <row r="48" ht="15.75">
      <c r="H48" s="6" t="s">
        <v>113</v>
      </c>
    </row>
    <row r="49" ht="15.75">
      <c r="H49" s="6" t="s">
        <v>114</v>
      </c>
    </row>
    <row r="50" ht="15.75">
      <c r="H50" s="6" t="s">
        <v>115</v>
      </c>
    </row>
    <row r="51" ht="15.75">
      <c r="H51" s="6"/>
    </row>
    <row r="52" spans="1:8" ht="18.75" customHeight="1">
      <c r="A52" s="622" t="s">
        <v>116</v>
      </c>
      <c r="B52" s="622"/>
      <c r="C52" s="622"/>
      <c r="D52" s="622"/>
      <c r="E52" s="622"/>
      <c r="F52" s="622"/>
      <c r="G52" s="622"/>
      <c r="H52" s="622"/>
    </row>
    <row r="53" spans="1:8" ht="18.75" customHeight="1">
      <c r="A53" s="622" t="s">
        <v>117</v>
      </c>
      <c r="B53" s="622"/>
      <c r="C53" s="622"/>
      <c r="D53" s="622"/>
      <c r="E53" s="622"/>
      <c r="F53" s="622"/>
      <c r="G53" s="622"/>
      <c r="H53" s="622"/>
    </row>
    <row r="54" ht="15.75">
      <c r="H54" s="6" t="s">
        <v>562</v>
      </c>
    </row>
    <row r="55" ht="15.75">
      <c r="H55" s="6" t="s">
        <v>769</v>
      </c>
    </row>
    <row r="56" ht="15.75">
      <c r="H56" s="6" t="s">
        <v>770</v>
      </c>
    </row>
    <row r="57" ht="15.75">
      <c r="H57" s="361" t="str">
        <f>H11</f>
        <v>                         Добровольский К.А.</v>
      </c>
    </row>
    <row r="58" ht="15.75">
      <c r="H58" s="6" t="s">
        <v>772</v>
      </c>
    </row>
    <row r="59" ht="15.75">
      <c r="H59" s="6" t="s">
        <v>567</v>
      </c>
    </row>
    <row r="60" ht="15.75">
      <c r="A60" s="362"/>
    </row>
    <row r="61" spans="1:8" ht="33.75" customHeight="1">
      <c r="A61" s="624" t="s">
        <v>218</v>
      </c>
      <c r="B61" s="623"/>
      <c r="C61" s="623"/>
      <c r="D61" s="623"/>
      <c r="E61" s="623"/>
      <c r="F61" s="623"/>
      <c r="G61" s="623"/>
      <c r="H61" s="623"/>
    </row>
    <row r="62" spans="1:8" ht="18.75" customHeight="1">
      <c r="A62" s="623" t="s">
        <v>120</v>
      </c>
      <c r="B62" s="623"/>
      <c r="C62" s="623"/>
      <c r="D62" s="623"/>
      <c r="E62" s="623"/>
      <c r="F62" s="623"/>
      <c r="G62" s="623"/>
      <c r="H62" s="623"/>
    </row>
    <row r="63" spans="1:8" ht="15.75">
      <c r="A63" s="364"/>
      <c r="B63" s="364"/>
      <c r="C63" s="366"/>
      <c r="D63" s="366"/>
      <c r="E63" s="366"/>
      <c r="F63" s="366"/>
      <c r="G63" s="366"/>
      <c r="H63" s="366"/>
    </row>
    <row r="64" spans="1:8" ht="16.5" customHeight="1">
      <c r="A64" s="581" t="s">
        <v>121</v>
      </c>
      <c r="B64" s="559" t="s">
        <v>122</v>
      </c>
      <c r="C64" s="560" t="s">
        <v>123</v>
      </c>
      <c r="D64" s="560"/>
      <c r="E64" s="560"/>
      <c r="F64" s="560"/>
      <c r="G64" s="561" t="s">
        <v>124</v>
      </c>
      <c r="H64" s="581" t="s">
        <v>125</v>
      </c>
    </row>
    <row r="65" spans="1:8" ht="15.75">
      <c r="A65" s="581"/>
      <c r="B65" s="559"/>
      <c r="C65" s="560"/>
      <c r="D65" s="560"/>
      <c r="E65" s="560"/>
      <c r="F65" s="560"/>
      <c r="G65" s="561"/>
      <c r="H65" s="581"/>
    </row>
    <row r="66" spans="1:8" ht="31.5">
      <c r="A66" s="581"/>
      <c r="B66" s="559"/>
      <c r="C66" s="369" t="s">
        <v>126</v>
      </c>
      <c r="D66" s="369" t="s">
        <v>127</v>
      </c>
      <c r="E66" s="370" t="s">
        <v>126</v>
      </c>
      <c r="F66" s="371" t="s">
        <v>127</v>
      </c>
      <c r="G66" s="561"/>
      <c r="H66" s="581"/>
    </row>
    <row r="67" spans="1:8" ht="15.75">
      <c r="A67" s="367">
        <v>1</v>
      </c>
      <c r="B67" s="367">
        <v>2</v>
      </c>
      <c r="C67" s="372">
        <v>3</v>
      </c>
      <c r="D67" s="372">
        <v>4</v>
      </c>
      <c r="E67" s="373"/>
      <c r="F67" s="374"/>
      <c r="G67" s="368">
        <v>5</v>
      </c>
      <c r="H67" s="367">
        <v>6</v>
      </c>
    </row>
    <row r="68" spans="1:8" ht="18.75" customHeight="1">
      <c r="A68" s="375">
        <v>1</v>
      </c>
      <c r="B68" s="582" t="s">
        <v>128</v>
      </c>
      <c r="C68" s="582"/>
      <c r="D68" s="582"/>
      <c r="E68" s="582"/>
      <c r="F68" s="582"/>
      <c r="G68" s="582"/>
      <c r="H68" s="582"/>
    </row>
    <row r="69" spans="1:8" ht="15.75">
      <c r="A69" s="376" t="s">
        <v>594</v>
      </c>
      <c r="B69" s="377" t="s">
        <v>129</v>
      </c>
      <c r="C69" s="378" t="s">
        <v>26</v>
      </c>
      <c r="D69" s="378" t="s">
        <v>26</v>
      </c>
      <c r="E69" s="378" t="s">
        <v>26</v>
      </c>
      <c r="F69" s="378" t="s">
        <v>26</v>
      </c>
      <c r="G69" s="378" t="s">
        <v>26</v>
      </c>
      <c r="H69" s="379" t="s">
        <v>130</v>
      </c>
    </row>
    <row r="70" spans="1:8" ht="15.75">
      <c r="A70" s="376" t="s">
        <v>735</v>
      </c>
      <c r="B70" s="377" t="s">
        <v>131</v>
      </c>
      <c r="C70" s="378" t="s">
        <v>26</v>
      </c>
      <c r="D70" s="378" t="s">
        <v>26</v>
      </c>
      <c r="E70" s="378" t="s">
        <v>26</v>
      </c>
      <c r="F70" s="378" t="s">
        <v>26</v>
      </c>
      <c r="G70" s="378" t="s">
        <v>26</v>
      </c>
      <c r="H70" s="379" t="s">
        <v>130</v>
      </c>
    </row>
    <row r="71" spans="1:8" ht="31.5">
      <c r="A71" s="376" t="s">
        <v>737</v>
      </c>
      <c r="B71" s="381" t="s">
        <v>132</v>
      </c>
      <c r="C71" s="566" t="s">
        <v>82</v>
      </c>
      <c r="D71" s="566" t="s">
        <v>83</v>
      </c>
      <c r="E71" s="378" t="s">
        <v>26</v>
      </c>
      <c r="F71" s="378" t="s">
        <v>26</v>
      </c>
      <c r="G71" s="378" t="s">
        <v>26</v>
      </c>
      <c r="H71" s="379" t="s">
        <v>130</v>
      </c>
    </row>
    <row r="72" spans="1:8" ht="47.25">
      <c r="A72" s="376" t="s">
        <v>739</v>
      </c>
      <c r="B72" s="381" t="s">
        <v>133</v>
      </c>
      <c r="C72" s="566" t="s">
        <v>84</v>
      </c>
      <c r="D72" s="566" t="s">
        <v>85</v>
      </c>
      <c r="E72" s="378" t="s">
        <v>26</v>
      </c>
      <c r="F72" s="378" t="s">
        <v>26</v>
      </c>
      <c r="G72" s="378" t="s">
        <v>26</v>
      </c>
      <c r="H72" s="379" t="s">
        <v>130</v>
      </c>
    </row>
    <row r="73" spans="1:8" ht="15.75">
      <c r="A73" s="376" t="s">
        <v>852</v>
      </c>
      <c r="B73" s="382" t="s">
        <v>134</v>
      </c>
      <c r="C73" s="566" t="s">
        <v>86</v>
      </c>
      <c r="D73" s="566" t="s">
        <v>87</v>
      </c>
      <c r="E73" s="378" t="s">
        <v>26</v>
      </c>
      <c r="F73" s="378" t="s">
        <v>26</v>
      </c>
      <c r="G73" s="378" t="s">
        <v>26</v>
      </c>
      <c r="H73" s="379" t="s">
        <v>130</v>
      </c>
    </row>
    <row r="74" spans="1:8" ht="15.75">
      <c r="A74" s="376" t="s">
        <v>853</v>
      </c>
      <c r="B74" s="382" t="s">
        <v>135</v>
      </c>
      <c r="C74" s="566" t="s">
        <v>82</v>
      </c>
      <c r="D74" s="566" t="s">
        <v>174</v>
      </c>
      <c r="E74" s="378" t="s">
        <v>26</v>
      </c>
      <c r="F74" s="378" t="s">
        <v>26</v>
      </c>
      <c r="G74" s="378" t="s">
        <v>26</v>
      </c>
      <c r="H74" s="379" t="s">
        <v>130</v>
      </c>
    </row>
    <row r="75" spans="1:8" ht="18.75" customHeight="1">
      <c r="A75" s="376">
        <v>2</v>
      </c>
      <c r="B75" s="579" t="s">
        <v>136</v>
      </c>
      <c r="C75" s="579"/>
      <c r="D75" s="579"/>
      <c r="E75" s="579"/>
      <c r="F75" s="579"/>
      <c r="G75" s="579"/>
      <c r="H75" s="579"/>
    </row>
    <row r="76" spans="1:9" ht="31.5">
      <c r="A76" s="376" t="s">
        <v>743</v>
      </c>
      <c r="B76" s="381" t="s">
        <v>137</v>
      </c>
      <c r="C76" s="378" t="s">
        <v>138</v>
      </c>
      <c r="D76" s="566" t="s">
        <v>256</v>
      </c>
      <c r="E76" s="378" t="s">
        <v>26</v>
      </c>
      <c r="F76" s="378" t="s">
        <v>26</v>
      </c>
      <c r="G76" s="383">
        <v>0</v>
      </c>
      <c r="H76" s="379"/>
      <c r="I76" s="380"/>
    </row>
    <row r="77" spans="1:14" s="98" customFormat="1" ht="47.25">
      <c r="A77" s="376" t="s">
        <v>746</v>
      </c>
      <c r="B77" s="381" t="s">
        <v>140</v>
      </c>
      <c r="C77" s="378" t="s">
        <v>26</v>
      </c>
      <c r="D77" s="378" t="s">
        <v>26</v>
      </c>
      <c r="E77" s="378" t="s">
        <v>26</v>
      </c>
      <c r="F77" s="378" t="s">
        <v>26</v>
      </c>
      <c r="G77" s="378" t="s">
        <v>26</v>
      </c>
      <c r="H77" s="379" t="s">
        <v>130</v>
      </c>
      <c r="I77" s="380"/>
      <c r="J77" s="380"/>
      <c r="K77" s="380"/>
      <c r="L77" s="380"/>
      <c r="M77" s="380"/>
      <c r="N77" s="380"/>
    </row>
    <row r="78" spans="1:14" s="98" customFormat="1" ht="31.5">
      <c r="A78" s="376" t="s">
        <v>141</v>
      </c>
      <c r="B78" s="381" t="s">
        <v>142</v>
      </c>
      <c r="C78" s="378" t="s">
        <v>26</v>
      </c>
      <c r="D78" s="378" t="s">
        <v>26</v>
      </c>
      <c r="E78" s="378" t="s">
        <v>26</v>
      </c>
      <c r="F78" s="378" t="s">
        <v>26</v>
      </c>
      <c r="G78" s="378" t="s">
        <v>26</v>
      </c>
      <c r="H78" s="379" t="s">
        <v>130</v>
      </c>
      <c r="I78" s="380"/>
      <c r="J78" s="380"/>
      <c r="K78" s="380"/>
      <c r="L78" s="380"/>
      <c r="M78" s="380"/>
      <c r="N78" s="380"/>
    </row>
    <row r="79" spans="1:14" s="98" customFormat="1" ht="18.75" customHeight="1">
      <c r="A79" s="376">
        <v>3</v>
      </c>
      <c r="B79" s="579" t="s">
        <v>143</v>
      </c>
      <c r="C79" s="579"/>
      <c r="D79" s="579"/>
      <c r="E79" s="579"/>
      <c r="F79" s="579"/>
      <c r="G79" s="579"/>
      <c r="H79" s="579"/>
      <c r="I79" s="380"/>
      <c r="J79" s="380"/>
      <c r="K79" s="380"/>
      <c r="L79" s="380"/>
      <c r="M79" s="380"/>
      <c r="N79" s="380"/>
    </row>
    <row r="80" spans="1:14" s="98" customFormat="1" ht="31.5">
      <c r="A80" s="376" t="s">
        <v>756</v>
      </c>
      <c r="B80" s="382" t="s">
        <v>144</v>
      </c>
      <c r="C80" s="378" t="s">
        <v>26</v>
      </c>
      <c r="D80" s="378" t="s">
        <v>26</v>
      </c>
      <c r="E80" s="378" t="s">
        <v>26</v>
      </c>
      <c r="F80" s="378" t="s">
        <v>26</v>
      </c>
      <c r="G80" s="378" t="s">
        <v>26</v>
      </c>
      <c r="H80" s="379" t="s">
        <v>130</v>
      </c>
      <c r="I80" s="380"/>
      <c r="J80" s="380"/>
      <c r="K80" s="380"/>
      <c r="L80" s="380"/>
      <c r="M80" s="380"/>
      <c r="N80" s="380"/>
    </row>
    <row r="81" spans="1:14" s="98" customFormat="1" ht="15.75">
      <c r="A81" s="376" t="s">
        <v>757</v>
      </c>
      <c r="B81" s="382" t="s">
        <v>145</v>
      </c>
      <c r="C81" s="378" t="s">
        <v>138</v>
      </c>
      <c r="D81" s="566" t="s">
        <v>173</v>
      </c>
      <c r="E81" s="378" t="s">
        <v>26</v>
      </c>
      <c r="F81" s="378" t="s">
        <v>26</v>
      </c>
      <c r="G81" s="383">
        <v>0</v>
      </c>
      <c r="H81" s="379"/>
      <c r="I81" s="380"/>
      <c r="J81" s="380"/>
      <c r="K81" s="380"/>
      <c r="L81" s="380"/>
      <c r="M81" s="380"/>
      <c r="N81" s="380"/>
    </row>
    <row r="82" spans="1:14" s="98" customFormat="1" ht="15.75">
      <c r="A82" s="376" t="s">
        <v>147</v>
      </c>
      <c r="B82" s="382" t="s">
        <v>148</v>
      </c>
      <c r="C82" s="378" t="s">
        <v>149</v>
      </c>
      <c r="D82" s="566" t="s">
        <v>234</v>
      </c>
      <c r="E82" s="378" t="s">
        <v>26</v>
      </c>
      <c r="F82" s="378" t="s">
        <v>26</v>
      </c>
      <c r="G82" s="383">
        <v>0</v>
      </c>
      <c r="H82" s="379"/>
      <c r="I82" s="380"/>
      <c r="J82" s="380"/>
      <c r="K82" s="380"/>
      <c r="L82" s="380"/>
      <c r="M82" s="380"/>
      <c r="N82" s="380"/>
    </row>
    <row r="83" spans="1:14" s="98" customFormat="1" ht="15.75">
      <c r="A83" s="376" t="s">
        <v>151</v>
      </c>
      <c r="B83" s="382" t="s">
        <v>152</v>
      </c>
      <c r="C83" s="378" t="s">
        <v>157</v>
      </c>
      <c r="D83" s="566" t="s">
        <v>249</v>
      </c>
      <c r="E83" s="378" t="s">
        <v>26</v>
      </c>
      <c r="F83" s="378" t="s">
        <v>26</v>
      </c>
      <c r="G83" s="383">
        <v>0</v>
      </c>
      <c r="H83" s="379"/>
      <c r="I83" s="380"/>
      <c r="J83" s="380"/>
      <c r="K83" s="380"/>
      <c r="L83" s="380"/>
      <c r="M83" s="380"/>
      <c r="N83" s="380"/>
    </row>
    <row r="84" spans="1:14" s="98" customFormat="1" ht="15.75">
      <c r="A84" s="376" t="s">
        <v>155</v>
      </c>
      <c r="B84" s="382" t="s">
        <v>156</v>
      </c>
      <c r="C84" s="566" t="s">
        <v>245</v>
      </c>
      <c r="D84" s="566" t="s">
        <v>215</v>
      </c>
      <c r="E84" s="378" t="s">
        <v>26</v>
      </c>
      <c r="F84" s="378" t="s">
        <v>26</v>
      </c>
      <c r="G84" s="383">
        <v>0</v>
      </c>
      <c r="H84" s="379"/>
      <c r="I84" s="380"/>
      <c r="J84" s="380"/>
      <c r="K84" s="380"/>
      <c r="L84" s="380"/>
      <c r="M84" s="380"/>
      <c r="N84" s="380"/>
    </row>
    <row r="85" spans="1:14" s="98" customFormat="1" ht="18.75" customHeight="1">
      <c r="A85" s="376">
        <v>4</v>
      </c>
      <c r="B85" s="579" t="s">
        <v>159</v>
      </c>
      <c r="C85" s="579"/>
      <c r="D85" s="579"/>
      <c r="E85" s="579"/>
      <c r="F85" s="579"/>
      <c r="G85" s="579"/>
      <c r="H85" s="579"/>
      <c r="I85" s="8"/>
      <c r="J85" s="380"/>
      <c r="K85" s="380"/>
      <c r="L85" s="380"/>
      <c r="M85" s="380"/>
      <c r="N85" s="380"/>
    </row>
    <row r="86" spans="1:8" ht="31.5">
      <c r="A86" s="376" t="s">
        <v>160</v>
      </c>
      <c r="B86" s="381" t="s">
        <v>161</v>
      </c>
      <c r="C86" s="378" t="s">
        <v>26</v>
      </c>
      <c r="D86" s="378" t="s">
        <v>26</v>
      </c>
      <c r="E86" s="378" t="s">
        <v>26</v>
      </c>
      <c r="F86" s="378" t="s">
        <v>26</v>
      </c>
      <c r="G86" s="378" t="s">
        <v>26</v>
      </c>
      <c r="H86" s="379" t="s">
        <v>130</v>
      </c>
    </row>
    <row r="87" spans="1:8" ht="47.25">
      <c r="A87" s="376" t="s">
        <v>162</v>
      </c>
      <c r="B87" s="381" t="s">
        <v>163</v>
      </c>
      <c r="C87" s="378" t="s">
        <v>26</v>
      </c>
      <c r="D87" s="378" t="s">
        <v>26</v>
      </c>
      <c r="E87" s="378" t="s">
        <v>26</v>
      </c>
      <c r="F87" s="378" t="s">
        <v>26</v>
      </c>
      <c r="G87" s="378" t="s">
        <v>26</v>
      </c>
      <c r="H87" s="379" t="s">
        <v>130</v>
      </c>
    </row>
    <row r="88" spans="1:8" ht="31.5">
      <c r="A88" s="376" t="s">
        <v>164</v>
      </c>
      <c r="B88" s="382" t="s">
        <v>165</v>
      </c>
      <c r="C88" s="378" t="s">
        <v>26</v>
      </c>
      <c r="D88" s="378" t="s">
        <v>26</v>
      </c>
      <c r="E88" s="378" t="s">
        <v>26</v>
      </c>
      <c r="F88" s="378" t="s">
        <v>26</v>
      </c>
      <c r="G88" s="378" t="s">
        <v>26</v>
      </c>
      <c r="H88" s="379" t="s">
        <v>130</v>
      </c>
    </row>
    <row r="89" spans="1:8" ht="31.5">
      <c r="A89" s="384" t="s">
        <v>166</v>
      </c>
      <c r="B89" s="385" t="s">
        <v>167</v>
      </c>
      <c r="C89" s="386" t="s">
        <v>26</v>
      </c>
      <c r="D89" s="386" t="s">
        <v>26</v>
      </c>
      <c r="E89" s="386" t="s">
        <v>26</v>
      </c>
      <c r="F89" s="386" t="s">
        <v>26</v>
      </c>
      <c r="G89" s="386" t="s">
        <v>26</v>
      </c>
      <c r="H89" s="387" t="s">
        <v>130</v>
      </c>
    </row>
    <row r="90" spans="1:8" ht="15.75">
      <c r="A90" s="388"/>
      <c r="B90" s="389"/>
      <c r="C90" s="390"/>
      <c r="D90" s="390"/>
      <c r="E90" s="390"/>
      <c r="F90" s="390"/>
      <c r="G90" s="390"/>
      <c r="H90" s="98"/>
    </row>
    <row r="91" spans="1:8" ht="18.75" customHeight="1">
      <c r="A91" s="580" t="s">
        <v>168</v>
      </c>
      <c r="B91" s="580"/>
      <c r="C91" s="580"/>
      <c r="D91" s="580"/>
      <c r="E91" s="580"/>
      <c r="F91" s="580"/>
      <c r="G91" s="580"/>
      <c r="H91" s="580"/>
    </row>
    <row r="94" ht="15.75">
      <c r="H94" s="6" t="s">
        <v>113</v>
      </c>
    </row>
    <row r="95" ht="15.75">
      <c r="H95" s="6" t="s">
        <v>114</v>
      </c>
    </row>
    <row r="96" ht="15.75">
      <c r="H96" s="6" t="s">
        <v>115</v>
      </c>
    </row>
    <row r="97" ht="15.75">
      <c r="H97" s="6"/>
    </row>
    <row r="98" spans="1:8" ht="18.75" customHeight="1">
      <c r="A98" s="622" t="s">
        <v>116</v>
      </c>
      <c r="B98" s="622"/>
      <c r="C98" s="622"/>
      <c r="D98" s="622"/>
      <c r="E98" s="622"/>
      <c r="F98" s="622"/>
      <c r="G98" s="622"/>
      <c r="H98" s="622"/>
    </row>
    <row r="99" spans="1:8" ht="18.75" customHeight="1">
      <c r="A99" s="622" t="s">
        <v>117</v>
      </c>
      <c r="B99" s="622"/>
      <c r="C99" s="622"/>
      <c r="D99" s="622"/>
      <c r="E99" s="622"/>
      <c r="F99" s="622"/>
      <c r="G99" s="622"/>
      <c r="H99" s="622"/>
    </row>
    <row r="100" ht="15.75">
      <c r="H100" s="6" t="s">
        <v>562</v>
      </c>
    </row>
    <row r="101" ht="15.75">
      <c r="H101" s="6" t="s">
        <v>769</v>
      </c>
    </row>
    <row r="102" ht="15.75">
      <c r="H102" s="6" t="s">
        <v>770</v>
      </c>
    </row>
    <row r="103" ht="15.75">
      <c r="H103" s="361" t="str">
        <f>H11</f>
        <v>                         Добровольский К.А.</v>
      </c>
    </row>
    <row r="104" ht="15.75">
      <c r="H104" s="6" t="s">
        <v>772</v>
      </c>
    </row>
    <row r="105" ht="15.75">
      <c r="H105" s="6" t="s">
        <v>567</v>
      </c>
    </row>
    <row r="106" ht="15.75">
      <c r="A106" s="362"/>
    </row>
    <row r="107" spans="1:8" ht="18.75" customHeight="1">
      <c r="A107" s="624" t="s">
        <v>219</v>
      </c>
      <c r="B107" s="623"/>
      <c r="C107" s="623"/>
      <c r="D107" s="623"/>
      <c r="E107" s="623"/>
      <c r="F107" s="623"/>
      <c r="G107" s="623"/>
      <c r="H107" s="623"/>
    </row>
    <row r="108" spans="1:8" ht="18.75" customHeight="1">
      <c r="A108" s="623" t="s">
        <v>120</v>
      </c>
      <c r="B108" s="623"/>
      <c r="C108" s="623"/>
      <c r="D108" s="623"/>
      <c r="E108" s="623"/>
      <c r="F108" s="623"/>
      <c r="G108" s="623"/>
      <c r="H108" s="623"/>
    </row>
    <row r="109" spans="1:8" ht="15.75">
      <c r="A109" s="364"/>
      <c r="B109" s="364"/>
      <c r="C109" s="366"/>
      <c r="D109" s="366"/>
      <c r="E109" s="366"/>
      <c r="F109" s="366"/>
      <c r="G109" s="366"/>
      <c r="H109" s="366"/>
    </row>
    <row r="110" spans="1:8" ht="16.5" customHeight="1">
      <c r="A110" s="581" t="s">
        <v>121</v>
      </c>
      <c r="B110" s="559" t="s">
        <v>122</v>
      </c>
      <c r="C110" s="560" t="s">
        <v>123</v>
      </c>
      <c r="D110" s="560"/>
      <c r="E110" s="560"/>
      <c r="F110" s="560"/>
      <c r="G110" s="561" t="s">
        <v>124</v>
      </c>
      <c r="H110" s="581" t="s">
        <v>125</v>
      </c>
    </row>
    <row r="111" spans="1:8" ht="15.75">
      <c r="A111" s="581"/>
      <c r="B111" s="559"/>
      <c r="C111" s="560"/>
      <c r="D111" s="560"/>
      <c r="E111" s="560"/>
      <c r="F111" s="560"/>
      <c r="G111" s="561"/>
      <c r="H111" s="581"/>
    </row>
    <row r="112" spans="1:8" ht="31.5">
      <c r="A112" s="581"/>
      <c r="B112" s="559"/>
      <c r="C112" s="369" t="s">
        <v>126</v>
      </c>
      <c r="D112" s="369" t="s">
        <v>127</v>
      </c>
      <c r="E112" s="370" t="s">
        <v>126</v>
      </c>
      <c r="F112" s="371" t="s">
        <v>127</v>
      </c>
      <c r="G112" s="561"/>
      <c r="H112" s="581"/>
    </row>
    <row r="113" spans="1:8" ht="15.75">
      <c r="A113" s="367">
        <v>1</v>
      </c>
      <c r="B113" s="367">
        <v>2</v>
      </c>
      <c r="C113" s="372">
        <v>3</v>
      </c>
      <c r="D113" s="372">
        <v>4</v>
      </c>
      <c r="E113" s="373"/>
      <c r="F113" s="374"/>
      <c r="G113" s="368">
        <v>5</v>
      </c>
      <c r="H113" s="367">
        <v>6</v>
      </c>
    </row>
    <row r="114" spans="1:8" ht="18.75" customHeight="1">
      <c r="A114" s="375">
        <v>1</v>
      </c>
      <c r="B114" s="582" t="s">
        <v>128</v>
      </c>
      <c r="C114" s="582"/>
      <c r="D114" s="582"/>
      <c r="E114" s="582"/>
      <c r="F114" s="582"/>
      <c r="G114" s="582"/>
      <c r="H114" s="582"/>
    </row>
    <row r="115" spans="1:8" ht="15.75">
      <c r="A115" s="376" t="s">
        <v>594</v>
      </c>
      <c r="B115" s="377" t="s">
        <v>129</v>
      </c>
      <c r="C115" s="378" t="s">
        <v>26</v>
      </c>
      <c r="D115" s="378" t="s">
        <v>26</v>
      </c>
      <c r="E115" s="378" t="s">
        <v>26</v>
      </c>
      <c r="F115" s="378" t="s">
        <v>26</v>
      </c>
      <c r="G115" s="378" t="s">
        <v>26</v>
      </c>
      <c r="H115" s="379" t="s">
        <v>130</v>
      </c>
    </row>
    <row r="116" spans="1:8" ht="15.75">
      <c r="A116" s="376" t="s">
        <v>735</v>
      </c>
      <c r="B116" s="377" t="s">
        <v>131</v>
      </c>
      <c r="C116" s="378" t="s">
        <v>26</v>
      </c>
      <c r="D116" s="378" t="s">
        <v>26</v>
      </c>
      <c r="E116" s="378" t="s">
        <v>26</v>
      </c>
      <c r="F116" s="378" t="s">
        <v>26</v>
      </c>
      <c r="G116" s="378" t="s">
        <v>26</v>
      </c>
      <c r="H116" s="379" t="s">
        <v>130</v>
      </c>
    </row>
    <row r="117" spans="1:8" ht="31.5">
      <c r="A117" s="376" t="s">
        <v>737</v>
      </c>
      <c r="B117" s="381" t="s">
        <v>132</v>
      </c>
      <c r="C117" s="378" t="s">
        <v>26</v>
      </c>
      <c r="D117" s="378" t="s">
        <v>26</v>
      </c>
      <c r="E117" s="378" t="s">
        <v>26</v>
      </c>
      <c r="F117" s="378" t="s">
        <v>26</v>
      </c>
      <c r="G117" s="378" t="s">
        <v>26</v>
      </c>
      <c r="H117" s="379" t="s">
        <v>130</v>
      </c>
    </row>
    <row r="118" spans="1:8" ht="47.25">
      <c r="A118" s="376" t="s">
        <v>739</v>
      </c>
      <c r="B118" s="381" t="s">
        <v>133</v>
      </c>
      <c r="C118" s="378" t="s">
        <v>26</v>
      </c>
      <c r="D118" s="378" t="s">
        <v>26</v>
      </c>
      <c r="E118" s="378" t="s">
        <v>26</v>
      </c>
      <c r="F118" s="378" t="s">
        <v>26</v>
      </c>
      <c r="G118" s="378" t="s">
        <v>26</v>
      </c>
      <c r="H118" s="379" t="s">
        <v>130</v>
      </c>
    </row>
    <row r="119" spans="1:8" ht="15.75">
      <c r="A119" s="376" t="s">
        <v>852</v>
      </c>
      <c r="B119" s="382" t="s">
        <v>134</v>
      </c>
      <c r="C119" s="378" t="s">
        <v>26</v>
      </c>
      <c r="D119" s="378" t="s">
        <v>26</v>
      </c>
      <c r="E119" s="378" t="s">
        <v>26</v>
      </c>
      <c r="F119" s="378" t="s">
        <v>26</v>
      </c>
      <c r="G119" s="378" t="s">
        <v>26</v>
      </c>
      <c r="H119" s="379" t="s">
        <v>130</v>
      </c>
    </row>
    <row r="120" spans="1:8" ht="15.75">
      <c r="A120" s="376" t="s">
        <v>853</v>
      </c>
      <c r="B120" s="382" t="s">
        <v>135</v>
      </c>
      <c r="C120" s="378" t="s">
        <v>26</v>
      </c>
      <c r="D120" s="378" t="s">
        <v>26</v>
      </c>
      <c r="E120" s="378" t="s">
        <v>26</v>
      </c>
      <c r="F120" s="378" t="s">
        <v>26</v>
      </c>
      <c r="G120" s="378" t="s">
        <v>26</v>
      </c>
      <c r="H120" s="379" t="s">
        <v>130</v>
      </c>
    </row>
    <row r="121" spans="1:8" ht="18.75" customHeight="1">
      <c r="A121" s="376">
        <v>2</v>
      </c>
      <c r="B121" s="579" t="s">
        <v>136</v>
      </c>
      <c r="C121" s="579"/>
      <c r="D121" s="579"/>
      <c r="E121" s="579"/>
      <c r="F121" s="579"/>
      <c r="G121" s="579"/>
      <c r="H121" s="579"/>
    </row>
    <row r="122" spans="1:8" ht="31.5">
      <c r="A122" s="376" t="s">
        <v>743</v>
      </c>
      <c r="B122" s="381" t="s">
        <v>137</v>
      </c>
      <c r="C122" s="378" t="s">
        <v>138</v>
      </c>
      <c r="D122" s="378" t="s">
        <v>172</v>
      </c>
      <c r="E122" s="378" t="s">
        <v>26</v>
      </c>
      <c r="F122" s="378" t="s">
        <v>26</v>
      </c>
      <c r="G122" s="383">
        <v>0</v>
      </c>
      <c r="H122" s="379"/>
    </row>
    <row r="123" spans="1:8" ht="47.25">
      <c r="A123" s="376" t="s">
        <v>746</v>
      </c>
      <c r="B123" s="381" t="s">
        <v>140</v>
      </c>
      <c r="C123" s="378" t="s">
        <v>26</v>
      </c>
      <c r="D123" s="378" t="s">
        <v>26</v>
      </c>
      <c r="E123" s="378" t="s">
        <v>26</v>
      </c>
      <c r="F123" s="378" t="s">
        <v>26</v>
      </c>
      <c r="G123" s="378" t="s">
        <v>26</v>
      </c>
      <c r="H123" s="379" t="s">
        <v>130</v>
      </c>
    </row>
    <row r="124" spans="1:8" ht="31.5">
      <c r="A124" s="376" t="s">
        <v>141</v>
      </c>
      <c r="B124" s="381" t="s">
        <v>142</v>
      </c>
      <c r="C124" s="378" t="s">
        <v>26</v>
      </c>
      <c r="D124" s="378" t="s">
        <v>26</v>
      </c>
      <c r="E124" s="378" t="s">
        <v>26</v>
      </c>
      <c r="F124" s="378" t="s">
        <v>26</v>
      </c>
      <c r="G124" s="378" t="s">
        <v>26</v>
      </c>
      <c r="H124" s="379" t="s">
        <v>130</v>
      </c>
    </row>
    <row r="125" spans="1:8" ht="18.75" customHeight="1">
      <c r="A125" s="376">
        <v>3</v>
      </c>
      <c r="B125" s="579" t="s">
        <v>143</v>
      </c>
      <c r="C125" s="579"/>
      <c r="D125" s="579"/>
      <c r="E125" s="579"/>
      <c r="F125" s="579"/>
      <c r="G125" s="579"/>
      <c r="H125" s="579"/>
    </row>
    <row r="126" spans="1:8" ht="31.5">
      <c r="A126" s="376" t="s">
        <v>756</v>
      </c>
      <c r="B126" s="382" t="s">
        <v>144</v>
      </c>
      <c r="C126" s="378" t="s">
        <v>26</v>
      </c>
      <c r="D126" s="378" t="s">
        <v>26</v>
      </c>
      <c r="E126" s="378" t="s">
        <v>26</v>
      </c>
      <c r="F126" s="378" t="s">
        <v>26</v>
      </c>
      <c r="G126" s="378" t="s">
        <v>26</v>
      </c>
      <c r="H126" s="379" t="s">
        <v>130</v>
      </c>
    </row>
    <row r="127" spans="1:8" ht="15.75">
      <c r="A127" s="376" t="s">
        <v>757</v>
      </c>
      <c r="B127" s="382" t="s">
        <v>145</v>
      </c>
      <c r="C127" s="378" t="s">
        <v>138</v>
      </c>
      <c r="D127" s="378" t="s">
        <v>173</v>
      </c>
      <c r="E127" s="378" t="s">
        <v>26</v>
      </c>
      <c r="F127" s="378" t="s">
        <v>26</v>
      </c>
      <c r="G127" s="383">
        <v>0</v>
      </c>
      <c r="H127" s="379"/>
    </row>
    <row r="128" spans="1:8" ht="15.75">
      <c r="A128" s="376" t="s">
        <v>147</v>
      </c>
      <c r="B128" s="382" t="s">
        <v>148</v>
      </c>
      <c r="C128" s="378" t="s">
        <v>174</v>
      </c>
      <c r="D128" s="378" t="s">
        <v>175</v>
      </c>
      <c r="E128" s="378" t="s">
        <v>26</v>
      </c>
      <c r="F128" s="378" t="s">
        <v>26</v>
      </c>
      <c r="G128" s="383">
        <v>0</v>
      </c>
      <c r="H128" s="379"/>
    </row>
    <row r="129" spans="1:8" ht="15.75">
      <c r="A129" s="376" t="s">
        <v>151</v>
      </c>
      <c r="B129" s="382" t="s">
        <v>152</v>
      </c>
      <c r="C129" s="378" t="s">
        <v>149</v>
      </c>
      <c r="D129" s="378" t="s">
        <v>176</v>
      </c>
      <c r="E129" s="378" t="s">
        <v>26</v>
      </c>
      <c r="F129" s="378" t="s">
        <v>26</v>
      </c>
      <c r="G129" s="383">
        <v>0</v>
      </c>
      <c r="H129" s="379"/>
    </row>
    <row r="130" spans="1:8" ht="15.75">
      <c r="A130" s="376" t="s">
        <v>155</v>
      </c>
      <c r="B130" s="382" t="s">
        <v>156</v>
      </c>
      <c r="C130" s="378" t="s">
        <v>177</v>
      </c>
      <c r="D130" s="378" t="s">
        <v>178</v>
      </c>
      <c r="E130" s="378" t="s">
        <v>26</v>
      </c>
      <c r="F130" s="378" t="s">
        <v>26</v>
      </c>
      <c r="G130" s="383">
        <v>0</v>
      </c>
      <c r="H130" s="379"/>
    </row>
    <row r="131" spans="1:8" ht="18.75" customHeight="1">
      <c r="A131" s="376">
        <v>4</v>
      </c>
      <c r="B131" s="579" t="s">
        <v>159</v>
      </c>
      <c r="C131" s="579"/>
      <c r="D131" s="579"/>
      <c r="E131" s="579"/>
      <c r="F131" s="579"/>
      <c r="G131" s="579"/>
      <c r="H131" s="579"/>
    </row>
    <row r="132" spans="1:8" ht="31.5">
      <c r="A132" s="376" t="s">
        <v>160</v>
      </c>
      <c r="B132" s="381" t="s">
        <v>161</v>
      </c>
      <c r="C132" s="378" t="s">
        <v>26</v>
      </c>
      <c r="D132" s="378" t="s">
        <v>26</v>
      </c>
      <c r="E132" s="378" t="s">
        <v>26</v>
      </c>
      <c r="F132" s="378" t="s">
        <v>26</v>
      </c>
      <c r="G132" s="378" t="s">
        <v>26</v>
      </c>
      <c r="H132" s="379" t="s">
        <v>130</v>
      </c>
    </row>
    <row r="133" spans="1:8" ht="47.25">
      <c r="A133" s="376" t="s">
        <v>162</v>
      </c>
      <c r="B133" s="381" t="s">
        <v>163</v>
      </c>
      <c r="C133" s="378" t="s">
        <v>26</v>
      </c>
      <c r="D133" s="378" t="s">
        <v>26</v>
      </c>
      <c r="E133" s="378" t="s">
        <v>26</v>
      </c>
      <c r="F133" s="378" t="s">
        <v>26</v>
      </c>
      <c r="G133" s="378" t="s">
        <v>26</v>
      </c>
      <c r="H133" s="379" t="s">
        <v>130</v>
      </c>
    </row>
    <row r="134" spans="1:8" ht="31.5">
      <c r="A134" s="376" t="s">
        <v>164</v>
      </c>
      <c r="B134" s="382" t="s">
        <v>165</v>
      </c>
      <c r="C134" s="378" t="s">
        <v>26</v>
      </c>
      <c r="D134" s="378" t="s">
        <v>26</v>
      </c>
      <c r="E134" s="378" t="s">
        <v>26</v>
      </c>
      <c r="F134" s="378" t="s">
        <v>26</v>
      </c>
      <c r="G134" s="378" t="s">
        <v>26</v>
      </c>
      <c r="H134" s="379" t="s">
        <v>130</v>
      </c>
    </row>
    <row r="135" spans="1:8" ht="31.5">
      <c r="A135" s="384" t="s">
        <v>166</v>
      </c>
      <c r="B135" s="385" t="s">
        <v>167</v>
      </c>
      <c r="C135" s="386" t="s">
        <v>26</v>
      </c>
      <c r="D135" s="386" t="s">
        <v>26</v>
      </c>
      <c r="E135" s="386" t="s">
        <v>26</v>
      </c>
      <c r="F135" s="386" t="s">
        <v>26</v>
      </c>
      <c r="G135" s="386" t="s">
        <v>26</v>
      </c>
      <c r="H135" s="387" t="s">
        <v>130</v>
      </c>
    </row>
    <row r="136" spans="1:8" ht="15.75">
      <c r="A136" s="388"/>
      <c r="B136" s="389"/>
      <c r="C136" s="390"/>
      <c r="D136" s="390"/>
      <c r="E136" s="390"/>
      <c r="F136" s="390"/>
      <c r="G136" s="390"/>
      <c r="H136" s="98"/>
    </row>
    <row r="137" spans="1:8" ht="18.75" customHeight="1">
      <c r="A137" s="580" t="s">
        <v>168</v>
      </c>
      <c r="B137" s="580"/>
      <c r="C137" s="580"/>
      <c r="D137" s="580"/>
      <c r="E137" s="580"/>
      <c r="F137" s="580"/>
      <c r="G137" s="580"/>
      <c r="H137" s="580"/>
    </row>
    <row r="140" ht="15.75">
      <c r="H140" s="6" t="s">
        <v>113</v>
      </c>
    </row>
    <row r="141" ht="15.75">
      <c r="H141" s="6" t="s">
        <v>114</v>
      </c>
    </row>
    <row r="142" ht="15.75">
      <c r="H142" s="6" t="s">
        <v>115</v>
      </c>
    </row>
    <row r="143" ht="15.75">
      <c r="H143" s="6"/>
    </row>
    <row r="144" spans="1:8" ht="18.75" customHeight="1">
      <c r="A144" s="622" t="s">
        <v>116</v>
      </c>
      <c r="B144" s="622"/>
      <c r="C144" s="622"/>
      <c r="D144" s="622"/>
      <c r="E144" s="622"/>
      <c r="F144" s="622"/>
      <c r="G144" s="622"/>
      <c r="H144" s="622"/>
    </row>
    <row r="145" spans="1:8" ht="18.75" customHeight="1">
      <c r="A145" s="622" t="s">
        <v>117</v>
      </c>
      <c r="B145" s="622"/>
      <c r="C145" s="622"/>
      <c r="D145" s="622"/>
      <c r="E145" s="622"/>
      <c r="F145" s="622"/>
      <c r="G145" s="622"/>
      <c r="H145" s="622"/>
    </row>
    <row r="146" ht="15.75">
      <c r="H146" s="6" t="s">
        <v>562</v>
      </c>
    </row>
    <row r="147" ht="15.75">
      <c r="H147" s="6" t="s">
        <v>769</v>
      </c>
    </row>
    <row r="148" ht="15.75">
      <c r="H148" s="6" t="s">
        <v>770</v>
      </c>
    </row>
    <row r="149" ht="15.75">
      <c r="H149" s="361" t="str">
        <f>H11</f>
        <v>                         Добровольский К.А.</v>
      </c>
    </row>
    <row r="150" ht="15.75">
      <c r="H150" s="6" t="s">
        <v>772</v>
      </c>
    </row>
    <row r="151" ht="15.75">
      <c r="H151" s="6" t="s">
        <v>567</v>
      </c>
    </row>
    <row r="152" ht="15.75">
      <c r="A152" s="362"/>
    </row>
    <row r="153" ht="15.75">
      <c r="A153" s="343" t="s">
        <v>179</v>
      </c>
    </row>
    <row r="154" spans="1:8" ht="18.75" customHeight="1">
      <c r="A154" s="623" t="s">
        <v>120</v>
      </c>
      <c r="B154" s="623"/>
      <c r="C154" s="623"/>
      <c r="D154" s="623"/>
      <c r="E154" s="623"/>
      <c r="F154" s="623"/>
      <c r="G154" s="623"/>
      <c r="H154" s="623"/>
    </row>
    <row r="155" spans="1:8" ht="15.75">
      <c r="A155" s="364"/>
      <c r="B155" s="364"/>
      <c r="C155" s="366"/>
      <c r="D155" s="366"/>
      <c r="E155" s="366"/>
      <c r="F155" s="366"/>
      <c r="G155" s="366"/>
      <c r="H155" s="366"/>
    </row>
    <row r="156" spans="1:8" ht="16.5" customHeight="1">
      <c r="A156" s="581" t="s">
        <v>121</v>
      </c>
      <c r="B156" s="559" t="s">
        <v>122</v>
      </c>
      <c r="C156" s="560" t="s">
        <v>123</v>
      </c>
      <c r="D156" s="560"/>
      <c r="E156" s="560"/>
      <c r="F156" s="560"/>
      <c r="G156" s="561" t="s">
        <v>124</v>
      </c>
      <c r="H156" s="581" t="s">
        <v>125</v>
      </c>
    </row>
    <row r="157" spans="1:8" ht="15.75">
      <c r="A157" s="581"/>
      <c r="B157" s="559"/>
      <c r="C157" s="560"/>
      <c r="D157" s="560"/>
      <c r="E157" s="560"/>
      <c r="F157" s="560"/>
      <c r="G157" s="561"/>
      <c r="H157" s="581"/>
    </row>
    <row r="158" spans="1:8" ht="31.5">
      <c r="A158" s="581"/>
      <c r="B158" s="559"/>
      <c r="C158" s="369" t="s">
        <v>126</v>
      </c>
      <c r="D158" s="369" t="s">
        <v>127</v>
      </c>
      <c r="E158" s="370" t="s">
        <v>126</v>
      </c>
      <c r="F158" s="371" t="s">
        <v>127</v>
      </c>
      <c r="G158" s="561"/>
      <c r="H158" s="581"/>
    </row>
    <row r="159" spans="1:8" ht="15.75">
      <c r="A159" s="367">
        <v>1</v>
      </c>
      <c r="B159" s="367">
        <v>2</v>
      </c>
      <c r="C159" s="372">
        <v>3</v>
      </c>
      <c r="D159" s="372">
        <v>4</v>
      </c>
      <c r="E159" s="373"/>
      <c r="F159" s="374"/>
      <c r="G159" s="368">
        <v>5</v>
      </c>
      <c r="H159" s="367">
        <v>6</v>
      </c>
    </row>
    <row r="160" spans="1:8" ht="18.75" customHeight="1">
      <c r="A160" s="375">
        <v>1</v>
      </c>
      <c r="B160" s="582" t="s">
        <v>128</v>
      </c>
      <c r="C160" s="582"/>
      <c r="D160" s="582"/>
      <c r="E160" s="582"/>
      <c r="F160" s="582"/>
      <c r="G160" s="582"/>
      <c r="H160" s="582"/>
    </row>
    <row r="161" spans="1:8" ht="15.75">
      <c r="A161" s="376" t="s">
        <v>594</v>
      </c>
      <c r="B161" s="377" t="s">
        <v>129</v>
      </c>
      <c r="C161" s="378" t="s">
        <v>26</v>
      </c>
      <c r="D161" s="378" t="s">
        <v>26</v>
      </c>
      <c r="E161" s="378" t="s">
        <v>26</v>
      </c>
      <c r="F161" s="378" t="s">
        <v>26</v>
      </c>
      <c r="G161" s="378" t="s">
        <v>26</v>
      </c>
      <c r="H161" s="379" t="s">
        <v>130</v>
      </c>
    </row>
    <row r="162" spans="1:8" ht="15.75">
      <c r="A162" s="376" t="s">
        <v>735</v>
      </c>
      <c r="B162" s="377" t="s">
        <v>131</v>
      </c>
      <c r="C162" s="378" t="s">
        <v>26</v>
      </c>
      <c r="D162" s="378" t="s">
        <v>26</v>
      </c>
      <c r="E162" s="378" t="s">
        <v>26</v>
      </c>
      <c r="F162" s="378" t="s">
        <v>26</v>
      </c>
      <c r="G162" s="378" t="s">
        <v>26</v>
      </c>
      <c r="H162" s="379" t="s">
        <v>130</v>
      </c>
    </row>
    <row r="163" spans="1:8" ht="31.5">
      <c r="A163" s="376" t="s">
        <v>737</v>
      </c>
      <c r="B163" s="381" t="s">
        <v>132</v>
      </c>
      <c r="C163" s="566" t="s">
        <v>82</v>
      </c>
      <c r="D163" s="566" t="s">
        <v>83</v>
      </c>
      <c r="E163" s="378" t="s">
        <v>26</v>
      </c>
      <c r="F163" s="378" t="s">
        <v>26</v>
      </c>
      <c r="G163" s="378" t="s">
        <v>26</v>
      </c>
      <c r="H163" s="379" t="s">
        <v>130</v>
      </c>
    </row>
    <row r="164" spans="1:8" ht="47.25">
      <c r="A164" s="376" t="s">
        <v>739</v>
      </c>
      <c r="B164" s="381" t="s">
        <v>133</v>
      </c>
      <c r="C164" s="566" t="s">
        <v>84</v>
      </c>
      <c r="D164" s="566" t="s">
        <v>85</v>
      </c>
      <c r="E164" s="378" t="s">
        <v>26</v>
      </c>
      <c r="F164" s="378" t="s">
        <v>26</v>
      </c>
      <c r="G164" s="378" t="s">
        <v>26</v>
      </c>
      <c r="H164" s="379" t="s">
        <v>130</v>
      </c>
    </row>
    <row r="165" spans="1:8" ht="15.75">
      <c r="A165" s="376" t="s">
        <v>852</v>
      </c>
      <c r="B165" s="382" t="s">
        <v>134</v>
      </c>
      <c r="C165" s="566" t="s">
        <v>86</v>
      </c>
      <c r="D165" s="566" t="s">
        <v>87</v>
      </c>
      <c r="E165" s="378" t="s">
        <v>26</v>
      </c>
      <c r="F165" s="378" t="s">
        <v>26</v>
      </c>
      <c r="G165" s="378" t="s">
        <v>26</v>
      </c>
      <c r="H165" s="379" t="s">
        <v>130</v>
      </c>
    </row>
    <row r="166" spans="1:8" ht="15.75">
      <c r="A166" s="376" t="s">
        <v>853</v>
      </c>
      <c r="B166" s="382" t="s">
        <v>135</v>
      </c>
      <c r="C166" s="566" t="s">
        <v>82</v>
      </c>
      <c r="D166" s="566" t="s">
        <v>174</v>
      </c>
      <c r="E166" s="378" t="s">
        <v>26</v>
      </c>
      <c r="F166" s="378" t="s">
        <v>26</v>
      </c>
      <c r="G166" s="378" t="s">
        <v>26</v>
      </c>
      <c r="H166" s="379" t="s">
        <v>130</v>
      </c>
    </row>
    <row r="167" spans="1:8" ht="18.75" customHeight="1">
      <c r="A167" s="376">
        <v>2</v>
      </c>
      <c r="B167" s="579" t="s">
        <v>136</v>
      </c>
      <c r="C167" s="579"/>
      <c r="D167" s="579"/>
      <c r="E167" s="579"/>
      <c r="F167" s="579"/>
      <c r="G167" s="579"/>
      <c r="H167" s="579"/>
    </row>
    <row r="168" spans="1:9" ht="31.5">
      <c r="A168" s="376" t="s">
        <v>743</v>
      </c>
      <c r="B168" s="381" t="s">
        <v>137</v>
      </c>
      <c r="C168" s="378" t="s">
        <v>153</v>
      </c>
      <c r="D168" s="378" t="s">
        <v>169</v>
      </c>
      <c r="E168" s="378" t="s">
        <v>26</v>
      </c>
      <c r="F168" s="378" t="s">
        <v>26</v>
      </c>
      <c r="G168" s="383">
        <v>0</v>
      </c>
      <c r="H168" s="379"/>
      <c r="I168" s="380"/>
    </row>
    <row r="169" spans="1:9" ht="47.25">
      <c r="A169" s="376" t="s">
        <v>746</v>
      </c>
      <c r="B169" s="381" t="s">
        <v>140</v>
      </c>
      <c r="C169" s="378" t="s">
        <v>26</v>
      </c>
      <c r="D169" s="378" t="s">
        <v>26</v>
      </c>
      <c r="E169" s="378" t="s">
        <v>26</v>
      </c>
      <c r="F169" s="378" t="s">
        <v>26</v>
      </c>
      <c r="G169" s="378" t="s">
        <v>26</v>
      </c>
      <c r="H169" s="379" t="s">
        <v>130</v>
      </c>
      <c r="I169" s="380"/>
    </row>
    <row r="170" spans="1:9" ht="31.5">
      <c r="A170" s="376" t="s">
        <v>141</v>
      </c>
      <c r="B170" s="381" t="s">
        <v>142</v>
      </c>
      <c r="C170" s="378" t="s">
        <v>26</v>
      </c>
      <c r="D170" s="378" t="s">
        <v>26</v>
      </c>
      <c r="E170" s="378" t="s">
        <v>26</v>
      </c>
      <c r="F170" s="378" t="s">
        <v>26</v>
      </c>
      <c r="G170" s="378" t="s">
        <v>26</v>
      </c>
      <c r="H170" s="379" t="s">
        <v>130</v>
      </c>
      <c r="I170" s="380"/>
    </row>
    <row r="171" spans="1:9" ht="18.75" customHeight="1">
      <c r="A171" s="376">
        <v>3</v>
      </c>
      <c r="B171" s="579" t="s">
        <v>143</v>
      </c>
      <c r="C171" s="579"/>
      <c r="D171" s="579"/>
      <c r="E171" s="579"/>
      <c r="F171" s="579"/>
      <c r="G171" s="579"/>
      <c r="H171" s="579"/>
      <c r="I171" s="380"/>
    </row>
    <row r="172" spans="1:9" ht="31.5">
      <c r="A172" s="376" t="s">
        <v>756</v>
      </c>
      <c r="B172" s="382" t="s">
        <v>144</v>
      </c>
      <c r="C172" s="378" t="s">
        <v>26</v>
      </c>
      <c r="D172" s="378" t="s">
        <v>26</v>
      </c>
      <c r="E172" s="378" t="s">
        <v>26</v>
      </c>
      <c r="F172" s="378" t="s">
        <v>26</v>
      </c>
      <c r="G172" s="378" t="s">
        <v>26</v>
      </c>
      <c r="H172" s="379" t="s">
        <v>130</v>
      </c>
      <c r="I172" s="380"/>
    </row>
    <row r="173" spans="1:9" ht="15.75">
      <c r="A173" s="376" t="s">
        <v>757</v>
      </c>
      <c r="B173" s="382" t="s">
        <v>145</v>
      </c>
      <c r="C173" s="378" t="s">
        <v>153</v>
      </c>
      <c r="D173" s="378" t="s">
        <v>154</v>
      </c>
      <c r="E173" s="378" t="s">
        <v>26</v>
      </c>
      <c r="F173" s="378" t="s">
        <v>26</v>
      </c>
      <c r="G173" s="383">
        <v>0</v>
      </c>
      <c r="H173" s="379"/>
      <c r="I173" s="380"/>
    </row>
    <row r="174" spans="1:9" ht="15.75">
      <c r="A174" s="376" t="s">
        <v>147</v>
      </c>
      <c r="B174" s="382" t="s">
        <v>148</v>
      </c>
      <c r="C174" s="378" t="s">
        <v>157</v>
      </c>
      <c r="D174" s="378" t="s">
        <v>158</v>
      </c>
      <c r="E174" s="378" t="s">
        <v>26</v>
      </c>
      <c r="F174" s="378" t="s">
        <v>26</v>
      </c>
      <c r="G174" s="383">
        <v>0</v>
      </c>
      <c r="H174" s="379"/>
      <c r="I174" s="380"/>
    </row>
    <row r="175" spans="1:9" ht="15.75">
      <c r="A175" s="376" t="s">
        <v>151</v>
      </c>
      <c r="B175" s="382" t="s">
        <v>152</v>
      </c>
      <c r="C175" s="378" t="s">
        <v>180</v>
      </c>
      <c r="D175" s="378" t="s">
        <v>139</v>
      </c>
      <c r="E175" s="378" t="s">
        <v>26</v>
      </c>
      <c r="F175" s="378" t="s">
        <v>26</v>
      </c>
      <c r="G175" s="383">
        <v>0</v>
      </c>
      <c r="H175" s="379"/>
      <c r="I175" s="380"/>
    </row>
    <row r="176" spans="1:9" ht="15.75">
      <c r="A176" s="376" t="s">
        <v>155</v>
      </c>
      <c r="B176" s="382" t="s">
        <v>156</v>
      </c>
      <c r="C176" s="378" t="s">
        <v>170</v>
      </c>
      <c r="D176" s="378" t="s">
        <v>171</v>
      </c>
      <c r="E176" s="378" t="s">
        <v>26</v>
      </c>
      <c r="F176" s="378" t="s">
        <v>26</v>
      </c>
      <c r="G176" s="383">
        <v>0</v>
      </c>
      <c r="H176" s="379"/>
      <c r="I176" s="380"/>
    </row>
    <row r="177" spans="1:8" ht="18.75" customHeight="1">
      <c r="A177" s="376">
        <v>4</v>
      </c>
      <c r="B177" s="579" t="s">
        <v>159</v>
      </c>
      <c r="C177" s="579"/>
      <c r="D177" s="579"/>
      <c r="E177" s="579"/>
      <c r="F177" s="579"/>
      <c r="G177" s="579"/>
      <c r="H177" s="579"/>
    </row>
    <row r="178" spans="1:14" s="98" customFormat="1" ht="31.5">
      <c r="A178" s="376" t="s">
        <v>160</v>
      </c>
      <c r="B178" s="381" t="s">
        <v>161</v>
      </c>
      <c r="C178" s="378" t="s">
        <v>26</v>
      </c>
      <c r="D178" s="378" t="s">
        <v>26</v>
      </c>
      <c r="E178" s="378" t="s">
        <v>26</v>
      </c>
      <c r="F178" s="378" t="s">
        <v>26</v>
      </c>
      <c r="G178" s="378" t="s">
        <v>26</v>
      </c>
      <c r="H178" s="379" t="s">
        <v>130</v>
      </c>
      <c r="I178" s="8"/>
      <c r="J178" s="380"/>
      <c r="K178" s="380"/>
      <c r="L178" s="380"/>
      <c r="M178" s="380"/>
      <c r="N178" s="380"/>
    </row>
    <row r="179" spans="1:14" s="98" customFormat="1" ht="47.25">
      <c r="A179" s="376" t="s">
        <v>162</v>
      </c>
      <c r="B179" s="381" t="s">
        <v>163</v>
      </c>
      <c r="C179" s="378" t="s">
        <v>26</v>
      </c>
      <c r="D179" s="378" t="s">
        <v>26</v>
      </c>
      <c r="E179" s="378" t="s">
        <v>26</v>
      </c>
      <c r="F179" s="378" t="s">
        <v>26</v>
      </c>
      <c r="G179" s="378" t="s">
        <v>26</v>
      </c>
      <c r="H179" s="379" t="s">
        <v>130</v>
      </c>
      <c r="I179" s="8"/>
      <c r="J179" s="380"/>
      <c r="K179" s="380"/>
      <c r="L179" s="380"/>
      <c r="M179" s="380"/>
      <c r="N179" s="380"/>
    </row>
    <row r="180" spans="1:14" s="98" customFormat="1" ht="31.5">
      <c r="A180" s="376" t="s">
        <v>164</v>
      </c>
      <c r="B180" s="382" t="s">
        <v>165</v>
      </c>
      <c r="C180" s="378" t="s">
        <v>26</v>
      </c>
      <c r="D180" s="378" t="s">
        <v>26</v>
      </c>
      <c r="E180" s="378" t="s">
        <v>26</v>
      </c>
      <c r="F180" s="378" t="s">
        <v>26</v>
      </c>
      <c r="G180" s="378" t="s">
        <v>26</v>
      </c>
      <c r="H180" s="379" t="s">
        <v>130</v>
      </c>
      <c r="I180" s="8"/>
      <c r="J180" s="380"/>
      <c r="K180" s="380"/>
      <c r="L180" s="380"/>
      <c r="M180" s="380"/>
      <c r="N180" s="380"/>
    </row>
    <row r="181" spans="1:14" s="98" customFormat="1" ht="31.5">
      <c r="A181" s="384" t="s">
        <v>166</v>
      </c>
      <c r="B181" s="385" t="s">
        <v>167</v>
      </c>
      <c r="C181" s="386" t="s">
        <v>26</v>
      </c>
      <c r="D181" s="386" t="s">
        <v>26</v>
      </c>
      <c r="E181" s="386" t="s">
        <v>26</v>
      </c>
      <c r="F181" s="386" t="s">
        <v>26</v>
      </c>
      <c r="G181" s="386" t="s">
        <v>26</v>
      </c>
      <c r="H181" s="387" t="s">
        <v>130</v>
      </c>
      <c r="I181" s="8"/>
      <c r="J181" s="380"/>
      <c r="K181" s="380"/>
      <c r="L181" s="380"/>
      <c r="M181" s="380"/>
      <c r="N181" s="380"/>
    </row>
    <row r="182" spans="1:14" s="98" customFormat="1" ht="15.75">
      <c r="A182" s="388"/>
      <c r="B182" s="389"/>
      <c r="C182" s="390"/>
      <c r="D182" s="390"/>
      <c r="E182" s="390"/>
      <c r="F182" s="390"/>
      <c r="G182" s="390"/>
      <c r="I182" s="8"/>
      <c r="J182" s="380"/>
      <c r="K182" s="380"/>
      <c r="L182" s="380"/>
      <c r="M182" s="380"/>
      <c r="N182" s="380"/>
    </row>
    <row r="183" spans="1:14" s="98" customFormat="1" ht="18.75" customHeight="1">
      <c r="A183" s="580" t="s">
        <v>168</v>
      </c>
      <c r="B183" s="580"/>
      <c r="C183" s="580"/>
      <c r="D183" s="580"/>
      <c r="E183" s="580"/>
      <c r="F183" s="580"/>
      <c r="G183" s="580"/>
      <c r="H183" s="580"/>
      <c r="I183" s="8"/>
      <c r="J183" s="380"/>
      <c r="K183" s="380"/>
      <c r="L183" s="380"/>
      <c r="M183" s="380"/>
      <c r="N183" s="380"/>
    </row>
    <row r="184" spans="1:14" s="98" customFormat="1" ht="15.75">
      <c r="A184" s="391"/>
      <c r="B184" s="391"/>
      <c r="C184" s="391"/>
      <c r="D184" s="391"/>
      <c r="E184" s="391"/>
      <c r="F184" s="391"/>
      <c r="G184" s="391"/>
      <c r="H184" s="391"/>
      <c r="I184" s="8"/>
      <c r="J184" s="380"/>
      <c r="K184" s="380"/>
      <c r="L184" s="380"/>
      <c r="M184" s="380"/>
      <c r="N184" s="380"/>
    </row>
    <row r="185" spans="1:14" s="98" customFormat="1" ht="15.75">
      <c r="A185" s="3"/>
      <c r="B185" s="3"/>
      <c r="C185" s="3"/>
      <c r="D185" s="3"/>
      <c r="E185" s="3"/>
      <c r="F185" s="3"/>
      <c r="G185" s="3"/>
      <c r="H185" s="3"/>
      <c r="I185" s="8"/>
      <c r="J185" s="380"/>
      <c r="K185" s="380"/>
      <c r="L185" s="380"/>
      <c r="M185" s="380"/>
      <c r="N185" s="380"/>
    </row>
    <row r="186" spans="1:14" s="98" customFormat="1" ht="15.75">
      <c r="A186" s="3"/>
      <c r="B186" s="3"/>
      <c r="C186" s="3"/>
      <c r="D186" s="3"/>
      <c r="E186" s="3"/>
      <c r="F186" s="3"/>
      <c r="G186" s="3"/>
      <c r="H186" s="6" t="s">
        <v>113</v>
      </c>
      <c r="I186" s="8"/>
      <c r="J186" s="380"/>
      <c r="K186" s="380"/>
      <c r="L186" s="380"/>
      <c r="M186" s="380"/>
      <c r="N186" s="380"/>
    </row>
    <row r="187" ht="15.75">
      <c r="H187" s="6" t="s">
        <v>114</v>
      </c>
    </row>
    <row r="188" ht="15.75">
      <c r="H188" s="6" t="s">
        <v>115</v>
      </c>
    </row>
    <row r="189" ht="15.75">
      <c r="H189" s="6"/>
    </row>
    <row r="190" spans="1:8" ht="18.75" customHeight="1">
      <c r="A190" s="622" t="s">
        <v>116</v>
      </c>
      <c r="B190" s="622"/>
      <c r="C190" s="622"/>
      <c r="D190" s="622"/>
      <c r="E190" s="622"/>
      <c r="F190" s="622"/>
      <c r="G190" s="622"/>
      <c r="H190" s="622"/>
    </row>
    <row r="191" spans="1:8" ht="18.75" customHeight="1">
      <c r="A191" s="622" t="s">
        <v>117</v>
      </c>
      <c r="B191" s="622"/>
      <c r="C191" s="622"/>
      <c r="D191" s="622"/>
      <c r="E191" s="622"/>
      <c r="F191" s="622"/>
      <c r="G191" s="622"/>
      <c r="H191" s="622"/>
    </row>
    <row r="192" ht="15.75">
      <c r="H192" s="6" t="s">
        <v>562</v>
      </c>
    </row>
    <row r="193" ht="15.75">
      <c r="H193" s="6" t="s">
        <v>769</v>
      </c>
    </row>
    <row r="194" ht="15.75">
      <c r="H194" s="6" t="s">
        <v>770</v>
      </c>
    </row>
    <row r="195" ht="15.75">
      <c r="H195" s="361" t="str">
        <f>H11</f>
        <v>                         Добровольский К.А.</v>
      </c>
    </row>
    <row r="196" ht="15.75">
      <c r="H196" s="6" t="s">
        <v>772</v>
      </c>
    </row>
    <row r="197" ht="15.75">
      <c r="H197" s="6" t="s">
        <v>567</v>
      </c>
    </row>
    <row r="198" ht="15.75">
      <c r="A198" s="362"/>
    </row>
    <row r="199" ht="15.75">
      <c r="A199" s="343" t="s">
        <v>181</v>
      </c>
    </row>
    <row r="200" spans="1:8" ht="18.75" customHeight="1">
      <c r="A200" s="623" t="s">
        <v>120</v>
      </c>
      <c r="B200" s="623"/>
      <c r="C200" s="623"/>
      <c r="D200" s="623"/>
      <c r="E200" s="623"/>
      <c r="F200" s="623"/>
      <c r="G200" s="623"/>
      <c r="H200" s="623"/>
    </row>
    <row r="201" spans="1:8" ht="15.75">
      <c r="A201" s="364"/>
      <c r="B201" s="364"/>
      <c r="C201" s="366"/>
      <c r="D201" s="366"/>
      <c r="E201" s="366"/>
      <c r="F201" s="366"/>
      <c r="G201" s="366"/>
      <c r="H201" s="366"/>
    </row>
    <row r="202" spans="1:8" ht="16.5" customHeight="1">
      <c r="A202" s="581" t="s">
        <v>121</v>
      </c>
      <c r="B202" s="559" t="s">
        <v>122</v>
      </c>
      <c r="C202" s="560" t="s">
        <v>123</v>
      </c>
      <c r="D202" s="560"/>
      <c r="E202" s="560"/>
      <c r="F202" s="560"/>
      <c r="G202" s="561" t="s">
        <v>124</v>
      </c>
      <c r="H202" s="581" t="s">
        <v>125</v>
      </c>
    </row>
    <row r="203" spans="1:8" ht="15.75">
      <c r="A203" s="581"/>
      <c r="B203" s="559"/>
      <c r="C203" s="560"/>
      <c r="D203" s="560"/>
      <c r="E203" s="560"/>
      <c r="F203" s="560"/>
      <c r="G203" s="561"/>
      <c r="H203" s="581"/>
    </row>
    <row r="204" spans="1:8" ht="31.5">
      <c r="A204" s="581"/>
      <c r="B204" s="559"/>
      <c r="C204" s="369" t="s">
        <v>126</v>
      </c>
      <c r="D204" s="369" t="s">
        <v>127</v>
      </c>
      <c r="E204" s="370" t="s">
        <v>126</v>
      </c>
      <c r="F204" s="371" t="s">
        <v>127</v>
      </c>
      <c r="G204" s="561"/>
      <c r="H204" s="581"/>
    </row>
    <row r="205" spans="1:8" ht="15.75">
      <c r="A205" s="367">
        <v>1</v>
      </c>
      <c r="B205" s="367">
        <v>2</v>
      </c>
      <c r="C205" s="372">
        <v>3</v>
      </c>
      <c r="D205" s="372">
        <v>4</v>
      </c>
      <c r="E205" s="373"/>
      <c r="F205" s="374"/>
      <c r="G205" s="368">
        <v>5</v>
      </c>
      <c r="H205" s="367">
        <v>6</v>
      </c>
    </row>
    <row r="206" spans="1:8" ht="18.75" customHeight="1">
      <c r="A206" s="375">
        <v>1</v>
      </c>
      <c r="B206" s="582" t="s">
        <v>128</v>
      </c>
      <c r="C206" s="582"/>
      <c r="D206" s="582"/>
      <c r="E206" s="582"/>
      <c r="F206" s="582"/>
      <c r="G206" s="582"/>
      <c r="H206" s="582"/>
    </row>
    <row r="207" spans="1:8" ht="15.75">
      <c r="A207" s="376" t="s">
        <v>594</v>
      </c>
      <c r="B207" s="377" t="s">
        <v>129</v>
      </c>
      <c r="C207" s="378" t="s">
        <v>26</v>
      </c>
      <c r="D207" s="378" t="s">
        <v>26</v>
      </c>
      <c r="E207" s="378" t="s">
        <v>26</v>
      </c>
      <c r="F207" s="378" t="s">
        <v>26</v>
      </c>
      <c r="G207" s="378" t="s">
        <v>26</v>
      </c>
      <c r="H207" s="379" t="s">
        <v>130</v>
      </c>
    </row>
    <row r="208" spans="1:8" ht="15.75">
      <c r="A208" s="376" t="s">
        <v>735</v>
      </c>
      <c r="B208" s="377" t="s">
        <v>131</v>
      </c>
      <c r="C208" s="378" t="s">
        <v>26</v>
      </c>
      <c r="D208" s="378" t="s">
        <v>26</v>
      </c>
      <c r="E208" s="378" t="s">
        <v>26</v>
      </c>
      <c r="F208" s="378" t="s">
        <v>26</v>
      </c>
      <c r="G208" s="378" t="s">
        <v>26</v>
      </c>
      <c r="H208" s="379" t="s">
        <v>130</v>
      </c>
    </row>
    <row r="209" spans="1:8" ht="31.5">
      <c r="A209" s="376" t="s">
        <v>737</v>
      </c>
      <c r="B209" s="381" t="s">
        <v>132</v>
      </c>
      <c r="C209" s="566" t="s">
        <v>82</v>
      </c>
      <c r="D209" s="566" t="s">
        <v>83</v>
      </c>
      <c r="E209" s="378" t="s">
        <v>26</v>
      </c>
      <c r="F209" s="378" t="s">
        <v>26</v>
      </c>
      <c r="G209" s="378" t="s">
        <v>26</v>
      </c>
      <c r="H209" s="379" t="s">
        <v>130</v>
      </c>
    </row>
    <row r="210" spans="1:8" ht="47.25">
      <c r="A210" s="376" t="s">
        <v>739</v>
      </c>
      <c r="B210" s="381" t="s">
        <v>133</v>
      </c>
      <c r="C210" s="566" t="s">
        <v>84</v>
      </c>
      <c r="D210" s="566" t="s">
        <v>85</v>
      </c>
      <c r="E210" s="378" t="s">
        <v>26</v>
      </c>
      <c r="F210" s="378" t="s">
        <v>26</v>
      </c>
      <c r="G210" s="378" t="s">
        <v>26</v>
      </c>
      <c r="H210" s="379" t="s">
        <v>130</v>
      </c>
    </row>
    <row r="211" spans="1:8" ht="15.75">
      <c r="A211" s="376" t="s">
        <v>852</v>
      </c>
      <c r="B211" s="382" t="s">
        <v>134</v>
      </c>
      <c r="C211" s="566" t="s">
        <v>86</v>
      </c>
      <c r="D211" s="566" t="s">
        <v>87</v>
      </c>
      <c r="E211" s="378" t="s">
        <v>26</v>
      </c>
      <c r="F211" s="378" t="s">
        <v>26</v>
      </c>
      <c r="G211" s="378" t="s">
        <v>26</v>
      </c>
      <c r="H211" s="379" t="s">
        <v>130</v>
      </c>
    </row>
    <row r="212" spans="1:8" ht="15.75">
      <c r="A212" s="376" t="s">
        <v>853</v>
      </c>
      <c r="B212" s="382" t="s">
        <v>135</v>
      </c>
      <c r="C212" s="566" t="s">
        <v>82</v>
      </c>
      <c r="D212" s="566" t="s">
        <v>174</v>
      </c>
      <c r="E212" s="378" t="s">
        <v>26</v>
      </c>
      <c r="F212" s="378" t="s">
        <v>26</v>
      </c>
      <c r="G212" s="378" t="s">
        <v>26</v>
      </c>
      <c r="H212" s="379" t="s">
        <v>130</v>
      </c>
    </row>
    <row r="213" spans="1:8" ht="18.75" customHeight="1">
      <c r="A213" s="376">
        <v>2</v>
      </c>
      <c r="B213" s="579" t="s">
        <v>136</v>
      </c>
      <c r="C213" s="579"/>
      <c r="D213" s="579"/>
      <c r="E213" s="579"/>
      <c r="F213" s="579"/>
      <c r="G213" s="579"/>
      <c r="H213" s="579"/>
    </row>
    <row r="214" spans="1:9" ht="31.5">
      <c r="A214" s="376" t="s">
        <v>743</v>
      </c>
      <c r="B214" s="381" t="s">
        <v>137</v>
      </c>
      <c r="C214" s="378" t="s">
        <v>153</v>
      </c>
      <c r="D214" s="378" t="s">
        <v>169</v>
      </c>
      <c r="E214" s="378" t="s">
        <v>26</v>
      </c>
      <c r="F214" s="378" t="s">
        <v>26</v>
      </c>
      <c r="G214" s="383">
        <v>0</v>
      </c>
      <c r="H214" s="379"/>
      <c r="I214" s="380"/>
    </row>
    <row r="215" spans="1:9" ht="47.25">
      <c r="A215" s="376" t="s">
        <v>746</v>
      </c>
      <c r="B215" s="381" t="s">
        <v>140</v>
      </c>
      <c r="C215" s="378" t="s">
        <v>26</v>
      </c>
      <c r="D215" s="378" t="s">
        <v>26</v>
      </c>
      <c r="E215" s="378" t="s">
        <v>26</v>
      </c>
      <c r="F215" s="378" t="s">
        <v>26</v>
      </c>
      <c r="G215" s="378" t="s">
        <v>26</v>
      </c>
      <c r="H215" s="379" t="s">
        <v>130</v>
      </c>
      <c r="I215" s="380"/>
    </row>
    <row r="216" spans="1:9" ht="31.5">
      <c r="A216" s="376" t="s">
        <v>141</v>
      </c>
      <c r="B216" s="381" t="s">
        <v>142</v>
      </c>
      <c r="C216" s="378" t="s">
        <v>26</v>
      </c>
      <c r="D216" s="378" t="s">
        <v>26</v>
      </c>
      <c r="E216" s="378" t="s">
        <v>26</v>
      </c>
      <c r="F216" s="378" t="s">
        <v>26</v>
      </c>
      <c r="G216" s="378" t="s">
        <v>26</v>
      </c>
      <c r="H216" s="379" t="s">
        <v>130</v>
      </c>
      <c r="I216" s="380"/>
    </row>
    <row r="217" spans="1:9" ht="18.75" customHeight="1">
      <c r="A217" s="376">
        <v>3</v>
      </c>
      <c r="B217" s="579" t="s">
        <v>143</v>
      </c>
      <c r="C217" s="579"/>
      <c r="D217" s="579"/>
      <c r="E217" s="579"/>
      <c r="F217" s="579"/>
      <c r="G217" s="579"/>
      <c r="H217" s="579"/>
      <c r="I217" s="380"/>
    </row>
    <row r="218" spans="1:9" ht="31.5">
      <c r="A218" s="376" t="s">
        <v>756</v>
      </c>
      <c r="B218" s="382" t="s">
        <v>144</v>
      </c>
      <c r="C218" s="378" t="s">
        <v>26</v>
      </c>
      <c r="D218" s="378" t="s">
        <v>26</v>
      </c>
      <c r="E218" s="378" t="s">
        <v>26</v>
      </c>
      <c r="F218" s="378" t="s">
        <v>26</v>
      </c>
      <c r="G218" s="378" t="s">
        <v>26</v>
      </c>
      <c r="H218" s="379" t="s">
        <v>130</v>
      </c>
      <c r="I218" s="380"/>
    </row>
    <row r="219" spans="1:9" ht="15.75">
      <c r="A219" s="376" t="s">
        <v>757</v>
      </c>
      <c r="B219" s="382" t="s">
        <v>145</v>
      </c>
      <c r="C219" s="378" t="s">
        <v>153</v>
      </c>
      <c r="D219" s="378" t="s">
        <v>154</v>
      </c>
      <c r="E219" s="378" t="s">
        <v>26</v>
      </c>
      <c r="F219" s="378" t="s">
        <v>26</v>
      </c>
      <c r="G219" s="383">
        <v>0</v>
      </c>
      <c r="H219" s="379"/>
      <c r="I219" s="380"/>
    </row>
    <row r="220" spans="1:9" ht="15.75">
      <c r="A220" s="376" t="s">
        <v>147</v>
      </c>
      <c r="B220" s="382" t="s">
        <v>148</v>
      </c>
      <c r="C220" s="378" t="s">
        <v>157</v>
      </c>
      <c r="D220" s="378" t="s">
        <v>158</v>
      </c>
      <c r="E220" s="378" t="s">
        <v>26</v>
      </c>
      <c r="F220" s="378" t="s">
        <v>26</v>
      </c>
      <c r="G220" s="383">
        <v>0</v>
      </c>
      <c r="H220" s="379"/>
      <c r="I220" s="380"/>
    </row>
    <row r="221" spans="1:9" ht="15.75">
      <c r="A221" s="376" t="s">
        <v>151</v>
      </c>
      <c r="B221" s="382" t="s">
        <v>152</v>
      </c>
      <c r="C221" s="378" t="s">
        <v>180</v>
      </c>
      <c r="D221" s="378" t="s">
        <v>139</v>
      </c>
      <c r="E221" s="378" t="s">
        <v>26</v>
      </c>
      <c r="F221" s="378" t="s">
        <v>26</v>
      </c>
      <c r="G221" s="383">
        <v>0</v>
      </c>
      <c r="H221" s="379"/>
      <c r="I221" s="380"/>
    </row>
    <row r="222" spans="1:9" ht="15.75">
      <c r="A222" s="376" t="s">
        <v>155</v>
      </c>
      <c r="B222" s="382" t="s">
        <v>156</v>
      </c>
      <c r="C222" s="378" t="s">
        <v>170</v>
      </c>
      <c r="D222" s="378" t="s">
        <v>171</v>
      </c>
      <c r="E222" s="378" t="s">
        <v>26</v>
      </c>
      <c r="F222" s="378" t="s">
        <v>26</v>
      </c>
      <c r="G222" s="383">
        <v>0</v>
      </c>
      <c r="H222" s="379"/>
      <c r="I222" s="380"/>
    </row>
    <row r="223" spans="1:8" ht="18.75" customHeight="1">
      <c r="A223" s="376">
        <v>4</v>
      </c>
      <c r="B223" s="579" t="s">
        <v>159</v>
      </c>
      <c r="C223" s="579"/>
      <c r="D223" s="579"/>
      <c r="E223" s="579"/>
      <c r="F223" s="579"/>
      <c r="G223" s="579"/>
      <c r="H223" s="579"/>
    </row>
    <row r="224" spans="1:8" ht="31.5">
      <c r="A224" s="376" t="s">
        <v>160</v>
      </c>
      <c r="B224" s="381" t="s">
        <v>161</v>
      </c>
      <c r="C224" s="378" t="s">
        <v>26</v>
      </c>
      <c r="D224" s="378" t="s">
        <v>26</v>
      </c>
      <c r="E224" s="378" t="s">
        <v>26</v>
      </c>
      <c r="F224" s="378" t="s">
        <v>26</v>
      </c>
      <c r="G224" s="378" t="s">
        <v>26</v>
      </c>
      <c r="H224" s="379" t="s">
        <v>130</v>
      </c>
    </row>
    <row r="225" spans="1:8" ht="47.25">
      <c r="A225" s="376" t="s">
        <v>162</v>
      </c>
      <c r="B225" s="381" t="s">
        <v>163</v>
      </c>
      <c r="C225" s="378" t="s">
        <v>26</v>
      </c>
      <c r="D225" s="378" t="s">
        <v>26</v>
      </c>
      <c r="E225" s="378" t="s">
        <v>26</v>
      </c>
      <c r="F225" s="378" t="s">
        <v>26</v>
      </c>
      <c r="G225" s="378" t="s">
        <v>26</v>
      </c>
      <c r="H225" s="379" t="s">
        <v>130</v>
      </c>
    </row>
    <row r="226" spans="1:8" ht="31.5">
      <c r="A226" s="376" t="s">
        <v>164</v>
      </c>
      <c r="B226" s="382" t="s">
        <v>165</v>
      </c>
      <c r="C226" s="378" t="s">
        <v>26</v>
      </c>
      <c r="D226" s="378" t="s">
        <v>26</v>
      </c>
      <c r="E226" s="378" t="s">
        <v>26</v>
      </c>
      <c r="F226" s="378" t="s">
        <v>26</v>
      </c>
      <c r="G226" s="378" t="s">
        <v>26</v>
      </c>
      <c r="H226" s="379" t="s">
        <v>130</v>
      </c>
    </row>
    <row r="227" spans="1:8" ht="31.5">
      <c r="A227" s="384" t="s">
        <v>166</v>
      </c>
      <c r="B227" s="385" t="s">
        <v>167</v>
      </c>
      <c r="C227" s="386" t="s">
        <v>26</v>
      </c>
      <c r="D227" s="386" t="s">
        <v>26</v>
      </c>
      <c r="E227" s="386" t="s">
        <v>26</v>
      </c>
      <c r="F227" s="386" t="s">
        <v>26</v>
      </c>
      <c r="G227" s="386" t="s">
        <v>26</v>
      </c>
      <c r="H227" s="387" t="s">
        <v>130</v>
      </c>
    </row>
    <row r="228" spans="1:8" ht="15.75">
      <c r="A228" s="388"/>
      <c r="B228" s="389"/>
      <c r="C228" s="390"/>
      <c r="D228" s="390"/>
      <c r="E228" s="390"/>
      <c r="F228" s="390"/>
      <c r="G228" s="390"/>
      <c r="H228" s="98"/>
    </row>
    <row r="229" spans="1:8" ht="18.75" customHeight="1">
      <c r="A229" s="580" t="s">
        <v>168</v>
      </c>
      <c r="B229" s="580"/>
      <c r="C229" s="580"/>
      <c r="D229" s="580"/>
      <c r="E229" s="580"/>
      <c r="F229" s="580"/>
      <c r="G229" s="580"/>
      <c r="H229" s="580"/>
    </row>
    <row r="230" spans="1:14" s="98" customFormat="1" ht="15.75">
      <c r="A230" s="391"/>
      <c r="B230" s="391"/>
      <c r="C230" s="391"/>
      <c r="D230" s="391"/>
      <c r="E230" s="391"/>
      <c r="F230" s="391"/>
      <c r="G230" s="391"/>
      <c r="H230" s="391"/>
      <c r="I230" s="8"/>
      <c r="J230" s="380"/>
      <c r="K230" s="380"/>
      <c r="L230" s="380"/>
      <c r="M230" s="380"/>
      <c r="N230" s="380"/>
    </row>
    <row r="231" spans="1:14" s="98" customFormat="1" ht="15.75">
      <c r="A231" s="3"/>
      <c r="B231" s="3"/>
      <c r="C231" s="3"/>
      <c r="D231" s="3"/>
      <c r="E231" s="3"/>
      <c r="F231" s="3"/>
      <c r="G231" s="3"/>
      <c r="H231" s="3"/>
      <c r="I231" s="8"/>
      <c r="J231" s="380"/>
      <c r="K231" s="380"/>
      <c r="L231" s="380"/>
      <c r="M231" s="380"/>
      <c r="N231" s="380"/>
    </row>
    <row r="232" spans="1:14" s="98" customFormat="1" ht="15.75">
      <c r="A232" s="3"/>
      <c r="B232" s="3"/>
      <c r="C232" s="3"/>
      <c r="D232" s="3"/>
      <c r="E232" s="3"/>
      <c r="F232" s="3"/>
      <c r="G232" s="3"/>
      <c r="H232" s="6" t="s">
        <v>113</v>
      </c>
      <c r="I232" s="8"/>
      <c r="J232" s="380"/>
      <c r="K232" s="380"/>
      <c r="L232" s="380"/>
      <c r="M232" s="380"/>
      <c r="N232" s="380"/>
    </row>
    <row r="233" spans="1:14" s="98" customFormat="1" ht="15.75">
      <c r="A233" s="3"/>
      <c r="B233" s="3"/>
      <c r="C233" s="3"/>
      <c r="D233" s="3"/>
      <c r="E233" s="3"/>
      <c r="F233" s="3"/>
      <c r="G233" s="3"/>
      <c r="H233" s="6" t="s">
        <v>114</v>
      </c>
      <c r="I233" s="8"/>
      <c r="J233" s="380"/>
      <c r="K233" s="380"/>
      <c r="L233" s="380"/>
      <c r="M233" s="380"/>
      <c r="N233" s="380"/>
    </row>
    <row r="234" spans="1:14" s="98" customFormat="1" ht="15.75">
      <c r="A234" s="3"/>
      <c r="B234" s="3"/>
      <c r="C234" s="3"/>
      <c r="D234" s="3"/>
      <c r="E234" s="3"/>
      <c r="F234" s="3"/>
      <c r="G234" s="3"/>
      <c r="H234" s="6" t="s">
        <v>115</v>
      </c>
      <c r="I234" s="8"/>
      <c r="J234" s="380"/>
      <c r="K234" s="380"/>
      <c r="L234" s="380"/>
      <c r="M234" s="380"/>
      <c r="N234" s="380"/>
    </row>
    <row r="235" spans="1:14" s="98" customFormat="1" ht="15.75">
      <c r="A235" s="3"/>
      <c r="B235" s="3"/>
      <c r="C235" s="3"/>
      <c r="D235" s="3"/>
      <c r="E235" s="3"/>
      <c r="F235" s="3"/>
      <c r="G235" s="3"/>
      <c r="H235" s="6"/>
      <c r="I235" s="8"/>
      <c r="J235" s="380"/>
      <c r="K235" s="380"/>
      <c r="L235" s="380"/>
      <c r="M235" s="380"/>
      <c r="N235" s="380"/>
    </row>
    <row r="236" spans="1:14" s="98" customFormat="1" ht="18.75" customHeight="1">
      <c r="A236" s="622" t="s">
        <v>116</v>
      </c>
      <c r="B236" s="622"/>
      <c r="C236" s="622"/>
      <c r="D236" s="622"/>
      <c r="E236" s="622"/>
      <c r="F236" s="622"/>
      <c r="G236" s="622"/>
      <c r="H236" s="622"/>
      <c r="I236" s="8"/>
      <c r="J236" s="380"/>
      <c r="K236" s="380"/>
      <c r="L236" s="380"/>
      <c r="M236" s="380"/>
      <c r="N236" s="380"/>
    </row>
    <row r="237" spans="1:14" s="98" customFormat="1" ht="18.75" customHeight="1">
      <c r="A237" s="622" t="s">
        <v>117</v>
      </c>
      <c r="B237" s="622"/>
      <c r="C237" s="622"/>
      <c r="D237" s="622"/>
      <c r="E237" s="622"/>
      <c r="F237" s="622"/>
      <c r="G237" s="622"/>
      <c r="H237" s="622"/>
      <c r="I237" s="8"/>
      <c r="J237" s="380"/>
      <c r="K237" s="380"/>
      <c r="L237" s="380"/>
      <c r="M237" s="380"/>
      <c r="N237" s="380"/>
    </row>
    <row r="238" spans="1:14" s="98" customFormat="1" ht="15.75">
      <c r="A238" s="3"/>
      <c r="B238" s="3"/>
      <c r="C238" s="3"/>
      <c r="D238" s="3"/>
      <c r="E238" s="3"/>
      <c r="F238" s="3"/>
      <c r="G238" s="3"/>
      <c r="H238" s="6" t="s">
        <v>562</v>
      </c>
      <c r="I238" s="8"/>
      <c r="J238" s="380"/>
      <c r="K238" s="380"/>
      <c r="L238" s="380"/>
      <c r="M238" s="380"/>
      <c r="N238" s="380"/>
    </row>
    <row r="239" ht="15.75">
      <c r="H239" s="6" t="s">
        <v>769</v>
      </c>
    </row>
    <row r="240" ht="15.75">
      <c r="H240" s="6" t="s">
        <v>770</v>
      </c>
    </row>
    <row r="241" ht="15.75">
      <c r="H241" s="361" t="str">
        <f>H11</f>
        <v>                         Добровольский К.А.</v>
      </c>
    </row>
    <row r="242" ht="15.75">
      <c r="H242" s="6" t="s">
        <v>772</v>
      </c>
    </row>
    <row r="243" ht="15.75">
      <c r="H243" s="6" t="s">
        <v>567</v>
      </c>
    </row>
    <row r="244" ht="15.75">
      <c r="A244" s="362"/>
    </row>
    <row r="245" ht="15.75">
      <c r="A245" s="343" t="s">
        <v>182</v>
      </c>
    </row>
    <row r="246" spans="1:8" ht="18.75" customHeight="1">
      <c r="A246" s="623" t="s">
        <v>120</v>
      </c>
      <c r="B246" s="623"/>
      <c r="C246" s="623"/>
      <c r="D246" s="623"/>
      <c r="E246" s="623"/>
      <c r="F246" s="623"/>
      <c r="G246" s="623"/>
      <c r="H246" s="623"/>
    </row>
    <row r="247" spans="1:8" ht="15.75">
      <c r="A247" s="364"/>
      <c r="B247" s="364"/>
      <c r="C247" s="366"/>
      <c r="D247" s="366"/>
      <c r="E247" s="366"/>
      <c r="F247" s="366"/>
      <c r="G247" s="366"/>
      <c r="H247" s="366"/>
    </row>
    <row r="248" spans="1:8" ht="16.5" customHeight="1">
      <c r="A248" s="581" t="s">
        <v>121</v>
      </c>
      <c r="B248" s="559" t="s">
        <v>122</v>
      </c>
      <c r="C248" s="560" t="s">
        <v>123</v>
      </c>
      <c r="D248" s="560"/>
      <c r="E248" s="560"/>
      <c r="F248" s="560"/>
      <c r="G248" s="561" t="s">
        <v>124</v>
      </c>
      <c r="H248" s="581" t="s">
        <v>125</v>
      </c>
    </row>
    <row r="249" spans="1:8" ht="15.75">
      <c r="A249" s="581"/>
      <c r="B249" s="559"/>
      <c r="C249" s="560"/>
      <c r="D249" s="560"/>
      <c r="E249" s="560"/>
      <c r="F249" s="560"/>
      <c r="G249" s="561"/>
      <c r="H249" s="581"/>
    </row>
    <row r="250" spans="1:8" ht="31.5">
      <c r="A250" s="581"/>
      <c r="B250" s="559"/>
      <c r="C250" s="369" t="s">
        <v>126</v>
      </c>
      <c r="D250" s="369" t="s">
        <v>127</v>
      </c>
      <c r="E250" s="370" t="s">
        <v>126</v>
      </c>
      <c r="F250" s="371" t="s">
        <v>127</v>
      </c>
      <c r="G250" s="561"/>
      <c r="H250" s="581"/>
    </row>
    <row r="251" spans="1:8" ht="15.75">
      <c r="A251" s="367">
        <v>1</v>
      </c>
      <c r="B251" s="367">
        <v>2</v>
      </c>
      <c r="C251" s="372">
        <v>3</v>
      </c>
      <c r="D251" s="372">
        <v>4</v>
      </c>
      <c r="E251" s="373"/>
      <c r="F251" s="374"/>
      <c r="G251" s="368">
        <v>5</v>
      </c>
      <c r="H251" s="367">
        <v>6</v>
      </c>
    </row>
    <row r="252" spans="1:8" ht="18.75" customHeight="1">
      <c r="A252" s="375">
        <v>1</v>
      </c>
      <c r="B252" s="582" t="s">
        <v>128</v>
      </c>
      <c r="C252" s="582"/>
      <c r="D252" s="582"/>
      <c r="E252" s="582"/>
      <c r="F252" s="582"/>
      <c r="G252" s="582"/>
      <c r="H252" s="582"/>
    </row>
    <row r="253" spans="1:8" ht="15.75">
      <c r="A253" s="376" t="s">
        <v>594</v>
      </c>
      <c r="B253" s="377" t="s">
        <v>129</v>
      </c>
      <c r="C253" s="378" t="s">
        <v>26</v>
      </c>
      <c r="D253" s="378" t="s">
        <v>26</v>
      </c>
      <c r="E253" s="378" t="s">
        <v>26</v>
      </c>
      <c r="F253" s="378" t="s">
        <v>26</v>
      </c>
      <c r="G253" s="378" t="s">
        <v>26</v>
      </c>
      <c r="H253" s="379" t="s">
        <v>130</v>
      </c>
    </row>
    <row r="254" spans="1:8" ht="15.75">
      <c r="A254" s="376" t="s">
        <v>735</v>
      </c>
      <c r="B254" s="377" t="s">
        <v>131</v>
      </c>
      <c r="C254" s="378" t="s">
        <v>26</v>
      </c>
      <c r="D254" s="378" t="s">
        <v>26</v>
      </c>
      <c r="E254" s="378" t="s">
        <v>26</v>
      </c>
      <c r="F254" s="378" t="s">
        <v>26</v>
      </c>
      <c r="G254" s="378" t="s">
        <v>26</v>
      </c>
      <c r="H254" s="379" t="s">
        <v>130</v>
      </c>
    </row>
    <row r="255" spans="1:8" ht="31.5">
      <c r="A255" s="376" t="s">
        <v>737</v>
      </c>
      <c r="B255" s="381" t="s">
        <v>132</v>
      </c>
      <c r="C255" s="566" t="s">
        <v>82</v>
      </c>
      <c r="D255" s="566" t="s">
        <v>83</v>
      </c>
      <c r="E255" s="378" t="s">
        <v>26</v>
      </c>
      <c r="F255" s="378" t="s">
        <v>26</v>
      </c>
      <c r="G255" s="378" t="s">
        <v>26</v>
      </c>
      <c r="H255" s="379" t="s">
        <v>130</v>
      </c>
    </row>
    <row r="256" spans="1:8" ht="47.25">
      <c r="A256" s="376" t="s">
        <v>739</v>
      </c>
      <c r="B256" s="381" t="s">
        <v>133</v>
      </c>
      <c r="C256" s="566" t="s">
        <v>84</v>
      </c>
      <c r="D256" s="566" t="s">
        <v>85</v>
      </c>
      <c r="E256" s="378" t="s">
        <v>26</v>
      </c>
      <c r="F256" s="378" t="s">
        <v>26</v>
      </c>
      <c r="G256" s="378" t="s">
        <v>26</v>
      </c>
      <c r="H256" s="379" t="s">
        <v>130</v>
      </c>
    </row>
    <row r="257" spans="1:8" ht="15.75">
      <c r="A257" s="376" t="s">
        <v>852</v>
      </c>
      <c r="B257" s="382" t="s">
        <v>134</v>
      </c>
      <c r="C257" s="566" t="s">
        <v>86</v>
      </c>
      <c r="D257" s="566" t="s">
        <v>87</v>
      </c>
      <c r="E257" s="378" t="s">
        <v>26</v>
      </c>
      <c r="F257" s="378" t="s">
        <v>26</v>
      </c>
      <c r="G257" s="378" t="s">
        <v>26</v>
      </c>
      <c r="H257" s="379" t="s">
        <v>130</v>
      </c>
    </row>
    <row r="258" spans="1:8" ht="15.75">
      <c r="A258" s="376" t="s">
        <v>853</v>
      </c>
      <c r="B258" s="382" t="s">
        <v>135</v>
      </c>
      <c r="C258" s="566" t="s">
        <v>82</v>
      </c>
      <c r="D258" s="566" t="s">
        <v>174</v>
      </c>
      <c r="E258" s="378" t="s">
        <v>26</v>
      </c>
      <c r="F258" s="378" t="s">
        <v>26</v>
      </c>
      <c r="G258" s="378" t="s">
        <v>26</v>
      </c>
      <c r="H258" s="379" t="s">
        <v>130</v>
      </c>
    </row>
    <row r="259" spans="1:8" ht="18.75" customHeight="1">
      <c r="A259" s="376">
        <v>2</v>
      </c>
      <c r="B259" s="579" t="s">
        <v>136</v>
      </c>
      <c r="C259" s="579"/>
      <c r="D259" s="579"/>
      <c r="E259" s="579"/>
      <c r="F259" s="579"/>
      <c r="G259" s="579"/>
      <c r="H259" s="579"/>
    </row>
    <row r="260" spans="1:8" ht="31.5">
      <c r="A260" s="376" t="s">
        <v>743</v>
      </c>
      <c r="B260" s="381" t="s">
        <v>137</v>
      </c>
      <c r="C260" s="378" t="s">
        <v>138</v>
      </c>
      <c r="D260" s="378" t="s">
        <v>183</v>
      </c>
      <c r="E260" s="378" t="s">
        <v>26</v>
      </c>
      <c r="F260" s="378" t="s">
        <v>26</v>
      </c>
      <c r="G260" s="383">
        <v>0</v>
      </c>
      <c r="H260" s="379"/>
    </row>
    <row r="261" spans="1:8" ht="47.25">
      <c r="A261" s="376" t="s">
        <v>746</v>
      </c>
      <c r="B261" s="381" t="s">
        <v>140</v>
      </c>
      <c r="C261" s="378" t="s">
        <v>26</v>
      </c>
      <c r="D261" s="378" t="s">
        <v>26</v>
      </c>
      <c r="E261" s="378" t="s">
        <v>26</v>
      </c>
      <c r="F261" s="378" t="s">
        <v>26</v>
      </c>
      <c r="G261" s="378" t="s">
        <v>26</v>
      </c>
      <c r="H261" s="379" t="s">
        <v>130</v>
      </c>
    </row>
    <row r="262" spans="1:8" ht="31.5">
      <c r="A262" s="376" t="s">
        <v>141</v>
      </c>
      <c r="B262" s="381" t="s">
        <v>142</v>
      </c>
      <c r="C262" s="378" t="s">
        <v>26</v>
      </c>
      <c r="D262" s="378" t="s">
        <v>26</v>
      </c>
      <c r="E262" s="378" t="s">
        <v>26</v>
      </c>
      <c r="F262" s="378" t="s">
        <v>26</v>
      </c>
      <c r="G262" s="378" t="s">
        <v>26</v>
      </c>
      <c r="H262" s="379" t="s">
        <v>130</v>
      </c>
    </row>
    <row r="263" spans="1:8" ht="18.75" customHeight="1">
      <c r="A263" s="376">
        <v>3</v>
      </c>
      <c r="B263" s="579" t="s">
        <v>184</v>
      </c>
      <c r="C263" s="579"/>
      <c r="D263" s="579"/>
      <c r="E263" s="579"/>
      <c r="F263" s="579"/>
      <c r="G263" s="579"/>
      <c r="H263" s="579"/>
    </row>
    <row r="264" spans="1:8" ht="31.5">
      <c r="A264" s="376" t="s">
        <v>756</v>
      </c>
      <c r="B264" s="382" t="s">
        <v>144</v>
      </c>
      <c r="C264" s="378" t="s">
        <v>26</v>
      </c>
      <c r="D264" s="378" t="s">
        <v>26</v>
      </c>
      <c r="E264" s="378" t="s">
        <v>26</v>
      </c>
      <c r="F264" s="378" t="s">
        <v>26</v>
      </c>
      <c r="G264" s="378" t="s">
        <v>26</v>
      </c>
      <c r="H264" s="379" t="s">
        <v>130</v>
      </c>
    </row>
    <row r="265" spans="1:8" ht="15.75">
      <c r="A265" s="376" t="s">
        <v>757</v>
      </c>
      <c r="B265" s="382" t="s">
        <v>145</v>
      </c>
      <c r="C265" s="378" t="s">
        <v>185</v>
      </c>
      <c r="D265" s="378" t="s">
        <v>178</v>
      </c>
      <c r="E265" s="378" t="s">
        <v>26</v>
      </c>
      <c r="F265" s="378" t="s">
        <v>26</v>
      </c>
      <c r="G265" s="383">
        <v>0</v>
      </c>
      <c r="H265" s="379"/>
    </row>
    <row r="266" spans="1:8" ht="15.75">
      <c r="A266" s="376" t="s">
        <v>147</v>
      </c>
      <c r="B266" s="382" t="s">
        <v>148</v>
      </c>
      <c r="C266" s="378" t="s">
        <v>186</v>
      </c>
      <c r="D266" s="378" t="s">
        <v>172</v>
      </c>
      <c r="E266" s="378" t="s">
        <v>26</v>
      </c>
      <c r="F266" s="378" t="s">
        <v>26</v>
      </c>
      <c r="G266" s="383">
        <v>0</v>
      </c>
      <c r="H266" s="379"/>
    </row>
    <row r="267" spans="1:8" ht="15.75">
      <c r="A267" s="376" t="s">
        <v>151</v>
      </c>
      <c r="B267" s="382" t="s">
        <v>152</v>
      </c>
      <c r="C267" s="378" t="s">
        <v>187</v>
      </c>
      <c r="D267" s="378" t="s">
        <v>188</v>
      </c>
      <c r="E267" s="378" t="s">
        <v>26</v>
      </c>
      <c r="F267" s="378" t="s">
        <v>26</v>
      </c>
      <c r="G267" s="383">
        <v>0</v>
      </c>
      <c r="H267" s="379"/>
    </row>
    <row r="268" spans="1:8" ht="15.75">
      <c r="A268" s="376" t="s">
        <v>155</v>
      </c>
      <c r="B268" s="382" t="s">
        <v>156</v>
      </c>
      <c r="C268" s="378" t="s">
        <v>189</v>
      </c>
      <c r="D268" s="378" t="s">
        <v>183</v>
      </c>
      <c r="E268" s="378" t="s">
        <v>26</v>
      </c>
      <c r="F268" s="378" t="s">
        <v>26</v>
      </c>
      <c r="G268" s="383">
        <v>0</v>
      </c>
      <c r="H268" s="379"/>
    </row>
    <row r="269" spans="1:8" ht="18.75" customHeight="1">
      <c r="A269" s="376">
        <v>4</v>
      </c>
      <c r="B269" s="579" t="s">
        <v>159</v>
      </c>
      <c r="C269" s="579"/>
      <c r="D269" s="579"/>
      <c r="E269" s="579"/>
      <c r="F269" s="579"/>
      <c r="G269" s="579"/>
      <c r="H269" s="579"/>
    </row>
    <row r="270" spans="1:8" ht="31.5">
      <c r="A270" s="376" t="s">
        <v>160</v>
      </c>
      <c r="B270" s="381" t="s">
        <v>161</v>
      </c>
      <c r="C270" s="378" t="s">
        <v>26</v>
      </c>
      <c r="D270" s="378" t="s">
        <v>26</v>
      </c>
      <c r="E270" s="378" t="s">
        <v>26</v>
      </c>
      <c r="F270" s="378" t="s">
        <v>26</v>
      </c>
      <c r="G270" s="378" t="s">
        <v>26</v>
      </c>
      <c r="H270" s="379" t="s">
        <v>130</v>
      </c>
    </row>
    <row r="271" spans="1:8" ht="47.25">
      <c r="A271" s="376" t="s">
        <v>162</v>
      </c>
      <c r="B271" s="381" t="s">
        <v>163</v>
      </c>
      <c r="C271" s="378" t="s">
        <v>26</v>
      </c>
      <c r="D271" s="378" t="s">
        <v>26</v>
      </c>
      <c r="E271" s="378" t="s">
        <v>26</v>
      </c>
      <c r="F271" s="378" t="s">
        <v>26</v>
      </c>
      <c r="G271" s="378" t="s">
        <v>26</v>
      </c>
      <c r="H271" s="379" t="s">
        <v>130</v>
      </c>
    </row>
    <row r="272" spans="1:8" ht="31.5">
      <c r="A272" s="376" t="s">
        <v>164</v>
      </c>
      <c r="B272" s="382" t="s">
        <v>165</v>
      </c>
      <c r="C272" s="378" t="s">
        <v>26</v>
      </c>
      <c r="D272" s="378" t="s">
        <v>26</v>
      </c>
      <c r="E272" s="378" t="s">
        <v>26</v>
      </c>
      <c r="F272" s="378" t="s">
        <v>26</v>
      </c>
      <c r="G272" s="378" t="s">
        <v>26</v>
      </c>
      <c r="H272" s="379" t="s">
        <v>130</v>
      </c>
    </row>
    <row r="273" spans="1:8" ht="31.5">
      <c r="A273" s="384" t="s">
        <v>166</v>
      </c>
      <c r="B273" s="385" t="s">
        <v>167</v>
      </c>
      <c r="C273" s="386" t="s">
        <v>26</v>
      </c>
      <c r="D273" s="386" t="s">
        <v>26</v>
      </c>
      <c r="E273" s="386" t="s">
        <v>26</v>
      </c>
      <c r="F273" s="386" t="s">
        <v>26</v>
      </c>
      <c r="G273" s="386" t="s">
        <v>26</v>
      </c>
      <c r="H273" s="387" t="s">
        <v>130</v>
      </c>
    </row>
    <row r="274" spans="1:8" ht="15.75">
      <c r="A274" s="388"/>
      <c r="B274" s="389"/>
      <c r="C274" s="390"/>
      <c r="D274" s="390"/>
      <c r="E274" s="390"/>
      <c r="F274" s="390"/>
      <c r="G274" s="390"/>
      <c r="H274" s="98"/>
    </row>
    <row r="275" spans="1:8" ht="18.75" customHeight="1">
      <c r="A275" s="580" t="s">
        <v>168</v>
      </c>
      <c r="B275" s="580"/>
      <c r="C275" s="580"/>
      <c r="D275" s="580"/>
      <c r="E275" s="580"/>
      <c r="F275" s="580"/>
      <c r="G275" s="580"/>
      <c r="H275" s="580"/>
    </row>
    <row r="276" spans="1:8" ht="15.75">
      <c r="A276" s="391"/>
      <c r="B276" s="391"/>
      <c r="C276" s="391"/>
      <c r="D276" s="391"/>
      <c r="E276" s="391"/>
      <c r="F276" s="391"/>
      <c r="G276" s="391"/>
      <c r="H276" s="391"/>
    </row>
    <row r="278" ht="15.75">
      <c r="H278" s="6" t="s">
        <v>113</v>
      </c>
    </row>
    <row r="279" ht="15.75">
      <c r="H279" s="6" t="s">
        <v>114</v>
      </c>
    </row>
    <row r="280" ht="15.75">
      <c r="H280" s="6" t="s">
        <v>115</v>
      </c>
    </row>
    <row r="281" ht="15.75">
      <c r="H281" s="6"/>
    </row>
    <row r="282" spans="1:8" ht="18.75" customHeight="1">
      <c r="A282" s="622" t="s">
        <v>116</v>
      </c>
      <c r="B282" s="622"/>
      <c r="C282" s="622"/>
      <c r="D282" s="622"/>
      <c r="E282" s="622"/>
      <c r="F282" s="622"/>
      <c r="G282" s="622"/>
      <c r="H282" s="622"/>
    </row>
    <row r="283" spans="1:8" ht="18.75" customHeight="1">
      <c r="A283" s="622" t="s">
        <v>117</v>
      </c>
      <c r="B283" s="622"/>
      <c r="C283" s="622"/>
      <c r="D283" s="622"/>
      <c r="E283" s="622"/>
      <c r="F283" s="622"/>
      <c r="G283" s="622"/>
      <c r="H283" s="622"/>
    </row>
    <row r="284" ht="15.75">
      <c r="H284" s="6" t="s">
        <v>562</v>
      </c>
    </row>
    <row r="285" ht="15.75">
      <c r="H285" s="6" t="s">
        <v>769</v>
      </c>
    </row>
    <row r="286" ht="15.75">
      <c r="H286" s="6" t="s">
        <v>770</v>
      </c>
    </row>
    <row r="287" ht="15.75">
      <c r="H287" s="361" t="str">
        <f>H11</f>
        <v>                         Добровольский К.А.</v>
      </c>
    </row>
    <row r="288" ht="15.75">
      <c r="H288" s="6" t="s">
        <v>772</v>
      </c>
    </row>
    <row r="289" ht="15.75">
      <c r="H289" s="6" t="s">
        <v>567</v>
      </c>
    </row>
    <row r="290" ht="15.75">
      <c r="A290" s="362"/>
    </row>
    <row r="291" ht="15.75">
      <c r="A291" s="3" t="s">
        <v>190</v>
      </c>
    </row>
    <row r="292" spans="1:8" ht="18.75" customHeight="1">
      <c r="A292" s="623" t="s">
        <v>120</v>
      </c>
      <c r="B292" s="623"/>
      <c r="C292" s="623"/>
      <c r="D292" s="623"/>
      <c r="E292" s="623"/>
      <c r="F292" s="623"/>
      <c r="G292" s="623"/>
      <c r="H292" s="623"/>
    </row>
    <row r="293" spans="1:8" ht="15.75">
      <c r="A293" s="364"/>
      <c r="B293" s="364"/>
      <c r="C293" s="366"/>
      <c r="D293" s="366"/>
      <c r="E293" s="366"/>
      <c r="F293" s="366"/>
      <c r="G293" s="366"/>
      <c r="H293" s="366"/>
    </row>
    <row r="294" spans="1:8" ht="16.5" customHeight="1">
      <c r="A294" s="581" t="s">
        <v>121</v>
      </c>
      <c r="B294" s="559" t="s">
        <v>122</v>
      </c>
      <c r="C294" s="560" t="s">
        <v>123</v>
      </c>
      <c r="D294" s="560"/>
      <c r="E294" s="560"/>
      <c r="F294" s="560"/>
      <c r="G294" s="561" t="s">
        <v>124</v>
      </c>
      <c r="H294" s="581" t="s">
        <v>125</v>
      </c>
    </row>
    <row r="295" spans="1:8" ht="15.75">
      <c r="A295" s="581"/>
      <c r="B295" s="559"/>
      <c r="C295" s="560"/>
      <c r="D295" s="560"/>
      <c r="E295" s="560"/>
      <c r="F295" s="560"/>
      <c r="G295" s="561"/>
      <c r="H295" s="581"/>
    </row>
    <row r="296" spans="1:8" ht="31.5">
      <c r="A296" s="581"/>
      <c r="B296" s="559"/>
      <c r="C296" s="369" t="s">
        <v>126</v>
      </c>
      <c r="D296" s="369" t="s">
        <v>127</v>
      </c>
      <c r="E296" s="370" t="s">
        <v>126</v>
      </c>
      <c r="F296" s="371" t="s">
        <v>127</v>
      </c>
      <c r="G296" s="561"/>
      <c r="H296" s="581"/>
    </row>
    <row r="297" spans="1:8" ht="15.75">
      <c r="A297" s="367">
        <v>1</v>
      </c>
      <c r="B297" s="367">
        <v>2</v>
      </c>
      <c r="C297" s="372">
        <v>3</v>
      </c>
      <c r="D297" s="372">
        <v>4</v>
      </c>
      <c r="E297" s="373"/>
      <c r="F297" s="374"/>
      <c r="G297" s="368">
        <v>5</v>
      </c>
      <c r="H297" s="367">
        <v>6</v>
      </c>
    </row>
    <row r="298" spans="1:8" ht="18.75" customHeight="1">
      <c r="A298" s="375">
        <v>1</v>
      </c>
      <c r="B298" s="582" t="s">
        <v>128</v>
      </c>
      <c r="C298" s="582"/>
      <c r="D298" s="582"/>
      <c r="E298" s="582"/>
      <c r="F298" s="582"/>
      <c r="G298" s="582"/>
      <c r="H298" s="582"/>
    </row>
    <row r="299" spans="1:8" ht="15.75">
      <c r="A299" s="376" t="s">
        <v>594</v>
      </c>
      <c r="B299" s="377" t="s">
        <v>129</v>
      </c>
      <c r="C299" s="378" t="s">
        <v>26</v>
      </c>
      <c r="D299" s="378" t="s">
        <v>26</v>
      </c>
      <c r="E299" s="378" t="s">
        <v>26</v>
      </c>
      <c r="F299" s="378" t="s">
        <v>26</v>
      </c>
      <c r="G299" s="378" t="s">
        <v>26</v>
      </c>
      <c r="H299" s="379" t="s">
        <v>130</v>
      </c>
    </row>
    <row r="300" spans="1:8" ht="15.75">
      <c r="A300" s="376" t="s">
        <v>735</v>
      </c>
      <c r="B300" s="377" t="s">
        <v>131</v>
      </c>
      <c r="C300" s="378" t="s">
        <v>26</v>
      </c>
      <c r="D300" s="378" t="s">
        <v>26</v>
      </c>
      <c r="E300" s="378" t="s">
        <v>26</v>
      </c>
      <c r="F300" s="378" t="s">
        <v>26</v>
      </c>
      <c r="G300" s="378" t="s">
        <v>26</v>
      </c>
      <c r="H300" s="379" t="s">
        <v>130</v>
      </c>
    </row>
    <row r="301" spans="1:8" ht="31.5">
      <c r="A301" s="376" t="s">
        <v>737</v>
      </c>
      <c r="B301" s="381" t="s">
        <v>132</v>
      </c>
      <c r="C301" s="566" t="s">
        <v>82</v>
      </c>
      <c r="D301" s="566" t="s">
        <v>83</v>
      </c>
      <c r="E301" s="378" t="s">
        <v>26</v>
      </c>
      <c r="F301" s="378" t="s">
        <v>26</v>
      </c>
      <c r="G301" s="378" t="s">
        <v>26</v>
      </c>
      <c r="H301" s="379" t="s">
        <v>130</v>
      </c>
    </row>
    <row r="302" spans="1:8" ht="47.25">
      <c r="A302" s="376" t="s">
        <v>739</v>
      </c>
      <c r="B302" s="381" t="s">
        <v>133</v>
      </c>
      <c r="C302" s="566" t="s">
        <v>84</v>
      </c>
      <c r="D302" s="566" t="s">
        <v>85</v>
      </c>
      <c r="E302" s="378" t="s">
        <v>26</v>
      </c>
      <c r="F302" s="378" t="s">
        <v>26</v>
      </c>
      <c r="G302" s="378" t="s">
        <v>26</v>
      </c>
      <c r="H302" s="379" t="s">
        <v>130</v>
      </c>
    </row>
    <row r="303" spans="1:8" ht="15.75">
      <c r="A303" s="376" t="s">
        <v>852</v>
      </c>
      <c r="B303" s="382" t="s">
        <v>134</v>
      </c>
      <c r="C303" s="566" t="s">
        <v>86</v>
      </c>
      <c r="D303" s="566" t="s">
        <v>87</v>
      </c>
      <c r="E303" s="378" t="s">
        <v>26</v>
      </c>
      <c r="F303" s="378" t="s">
        <v>26</v>
      </c>
      <c r="G303" s="378" t="s">
        <v>26</v>
      </c>
      <c r="H303" s="379" t="s">
        <v>130</v>
      </c>
    </row>
    <row r="304" spans="1:8" ht="15.75">
      <c r="A304" s="376" t="s">
        <v>853</v>
      </c>
      <c r="B304" s="382" t="s">
        <v>135</v>
      </c>
      <c r="C304" s="566" t="s">
        <v>82</v>
      </c>
      <c r="D304" s="566" t="s">
        <v>174</v>
      </c>
      <c r="E304" s="378" t="s">
        <v>26</v>
      </c>
      <c r="F304" s="378" t="s">
        <v>26</v>
      </c>
      <c r="G304" s="378" t="s">
        <v>26</v>
      </c>
      <c r="H304" s="379" t="s">
        <v>130</v>
      </c>
    </row>
    <row r="305" spans="1:8" ht="18.75" customHeight="1">
      <c r="A305" s="376">
        <v>2</v>
      </c>
      <c r="B305" s="579" t="s">
        <v>136</v>
      </c>
      <c r="C305" s="579"/>
      <c r="D305" s="579"/>
      <c r="E305" s="579"/>
      <c r="F305" s="579"/>
      <c r="G305" s="579"/>
      <c r="H305" s="579"/>
    </row>
    <row r="306" spans="1:8" ht="31.5">
      <c r="A306" s="376" t="s">
        <v>743</v>
      </c>
      <c r="B306" s="381" t="s">
        <v>137</v>
      </c>
      <c r="C306" s="378" t="s">
        <v>138</v>
      </c>
      <c r="D306" s="378" t="s">
        <v>183</v>
      </c>
      <c r="E306" s="378" t="s">
        <v>26</v>
      </c>
      <c r="F306" s="378" t="s">
        <v>26</v>
      </c>
      <c r="G306" s="383">
        <v>0</v>
      </c>
      <c r="H306" s="379"/>
    </row>
    <row r="307" spans="1:8" ht="47.25">
      <c r="A307" s="376" t="s">
        <v>746</v>
      </c>
      <c r="B307" s="381" t="s">
        <v>140</v>
      </c>
      <c r="C307" s="378" t="s">
        <v>26</v>
      </c>
      <c r="D307" s="378" t="s">
        <v>26</v>
      </c>
      <c r="E307" s="378" t="s">
        <v>26</v>
      </c>
      <c r="F307" s="378" t="s">
        <v>26</v>
      </c>
      <c r="G307" s="378" t="s">
        <v>26</v>
      </c>
      <c r="H307" s="379" t="s">
        <v>130</v>
      </c>
    </row>
    <row r="308" spans="1:8" ht="31.5">
      <c r="A308" s="376" t="s">
        <v>141</v>
      </c>
      <c r="B308" s="381" t="s">
        <v>142</v>
      </c>
      <c r="C308" s="378" t="s">
        <v>26</v>
      </c>
      <c r="D308" s="378" t="s">
        <v>26</v>
      </c>
      <c r="E308" s="378" t="s">
        <v>26</v>
      </c>
      <c r="F308" s="378" t="s">
        <v>26</v>
      </c>
      <c r="G308" s="378" t="s">
        <v>26</v>
      </c>
      <c r="H308" s="379" t="s">
        <v>130</v>
      </c>
    </row>
    <row r="309" spans="1:8" ht="18.75" customHeight="1">
      <c r="A309" s="376">
        <v>3</v>
      </c>
      <c r="B309" s="579" t="s">
        <v>184</v>
      </c>
      <c r="C309" s="579"/>
      <c r="D309" s="579"/>
      <c r="E309" s="579"/>
      <c r="F309" s="579"/>
      <c r="G309" s="579"/>
      <c r="H309" s="579"/>
    </row>
    <row r="310" spans="1:8" ht="31.5">
      <c r="A310" s="376" t="s">
        <v>756</v>
      </c>
      <c r="B310" s="382" t="s">
        <v>144</v>
      </c>
      <c r="C310" s="378" t="s">
        <v>26</v>
      </c>
      <c r="D310" s="378" t="s">
        <v>26</v>
      </c>
      <c r="E310" s="378" t="s">
        <v>26</v>
      </c>
      <c r="F310" s="378" t="s">
        <v>26</v>
      </c>
      <c r="G310" s="378" t="s">
        <v>26</v>
      </c>
      <c r="H310" s="379" t="s">
        <v>130</v>
      </c>
    </row>
    <row r="311" spans="1:8" ht="15.75">
      <c r="A311" s="376" t="s">
        <v>757</v>
      </c>
      <c r="B311" s="382" t="s">
        <v>145</v>
      </c>
      <c r="C311" s="378" t="s">
        <v>191</v>
      </c>
      <c r="D311" s="378" t="s">
        <v>173</v>
      </c>
      <c r="E311" s="378" t="s">
        <v>26</v>
      </c>
      <c r="F311" s="378" t="s">
        <v>26</v>
      </c>
      <c r="G311" s="383">
        <v>0</v>
      </c>
      <c r="H311" s="379"/>
    </row>
    <row r="312" spans="1:8" ht="15.75">
      <c r="A312" s="376" t="s">
        <v>147</v>
      </c>
      <c r="B312" s="382" t="s">
        <v>148</v>
      </c>
      <c r="C312" s="378" t="s">
        <v>186</v>
      </c>
      <c r="D312" s="378" t="s">
        <v>172</v>
      </c>
      <c r="E312" s="378" t="s">
        <v>26</v>
      </c>
      <c r="F312" s="378" t="s">
        <v>26</v>
      </c>
      <c r="G312" s="383">
        <v>0</v>
      </c>
      <c r="H312" s="379"/>
    </row>
    <row r="313" spans="1:8" ht="15.75">
      <c r="A313" s="376" t="s">
        <v>151</v>
      </c>
      <c r="B313" s="382" t="s">
        <v>152</v>
      </c>
      <c r="C313" s="378" t="s">
        <v>187</v>
      </c>
      <c r="D313" s="378" t="s">
        <v>188</v>
      </c>
      <c r="E313" s="378" t="s">
        <v>26</v>
      </c>
      <c r="F313" s="378" t="s">
        <v>26</v>
      </c>
      <c r="G313" s="383">
        <v>0</v>
      </c>
      <c r="H313" s="379"/>
    </row>
    <row r="314" spans="1:8" ht="15.75">
      <c r="A314" s="376" t="s">
        <v>155</v>
      </c>
      <c r="B314" s="382" t="s">
        <v>156</v>
      </c>
      <c r="C314" s="378" t="s">
        <v>189</v>
      </c>
      <c r="D314" s="378" t="s">
        <v>183</v>
      </c>
      <c r="E314" s="378" t="s">
        <v>26</v>
      </c>
      <c r="F314" s="378" t="s">
        <v>26</v>
      </c>
      <c r="G314" s="383">
        <v>0</v>
      </c>
      <c r="H314" s="379"/>
    </row>
    <row r="315" spans="1:8" ht="18.75" customHeight="1">
      <c r="A315" s="376">
        <v>4</v>
      </c>
      <c r="B315" s="579" t="s">
        <v>159</v>
      </c>
      <c r="C315" s="579"/>
      <c r="D315" s="579"/>
      <c r="E315" s="579"/>
      <c r="F315" s="579"/>
      <c r="G315" s="579"/>
      <c r="H315" s="579"/>
    </row>
    <row r="316" spans="1:8" ht="31.5">
      <c r="A316" s="376" t="s">
        <v>160</v>
      </c>
      <c r="B316" s="381" t="s">
        <v>161</v>
      </c>
      <c r="C316" s="378" t="s">
        <v>26</v>
      </c>
      <c r="D316" s="378" t="s">
        <v>26</v>
      </c>
      <c r="E316" s="378" t="s">
        <v>26</v>
      </c>
      <c r="F316" s="378" t="s">
        <v>26</v>
      </c>
      <c r="G316" s="378" t="s">
        <v>26</v>
      </c>
      <c r="H316" s="379" t="s">
        <v>130</v>
      </c>
    </row>
    <row r="317" spans="1:8" ht="47.25">
      <c r="A317" s="376" t="s">
        <v>162</v>
      </c>
      <c r="B317" s="381" t="s">
        <v>163</v>
      </c>
      <c r="C317" s="378" t="s">
        <v>26</v>
      </c>
      <c r="D317" s="378" t="s">
        <v>26</v>
      </c>
      <c r="E317" s="378" t="s">
        <v>26</v>
      </c>
      <c r="F317" s="378" t="s">
        <v>26</v>
      </c>
      <c r="G317" s="378" t="s">
        <v>26</v>
      </c>
      <c r="H317" s="379" t="s">
        <v>130</v>
      </c>
    </row>
    <row r="318" spans="1:8" ht="31.5">
      <c r="A318" s="376" t="s">
        <v>164</v>
      </c>
      <c r="B318" s="382" t="s">
        <v>165</v>
      </c>
      <c r="C318" s="378" t="s">
        <v>26</v>
      </c>
      <c r="D318" s="378" t="s">
        <v>26</v>
      </c>
      <c r="E318" s="378" t="s">
        <v>26</v>
      </c>
      <c r="F318" s="378" t="s">
        <v>26</v>
      </c>
      <c r="G318" s="378" t="s">
        <v>26</v>
      </c>
      <c r="H318" s="379" t="s">
        <v>130</v>
      </c>
    </row>
    <row r="319" spans="1:8" ht="31.5">
      <c r="A319" s="384" t="s">
        <v>166</v>
      </c>
      <c r="B319" s="385" t="s">
        <v>167</v>
      </c>
      <c r="C319" s="386" t="s">
        <v>26</v>
      </c>
      <c r="D319" s="386" t="s">
        <v>26</v>
      </c>
      <c r="E319" s="386" t="s">
        <v>26</v>
      </c>
      <c r="F319" s="386" t="s">
        <v>26</v>
      </c>
      <c r="G319" s="386" t="s">
        <v>26</v>
      </c>
      <c r="H319" s="387" t="s">
        <v>130</v>
      </c>
    </row>
    <row r="320" spans="1:8" ht="15.75">
      <c r="A320" s="388"/>
      <c r="B320" s="389"/>
      <c r="C320" s="390"/>
      <c r="D320" s="390"/>
      <c r="E320" s="390"/>
      <c r="F320" s="390"/>
      <c r="G320" s="390"/>
      <c r="H320" s="98"/>
    </row>
    <row r="321" spans="1:8" ht="18.75" customHeight="1">
      <c r="A321" s="580" t="s">
        <v>168</v>
      </c>
      <c r="B321" s="580"/>
      <c r="C321" s="580"/>
      <c r="D321" s="580"/>
      <c r="E321" s="580"/>
      <c r="F321" s="580"/>
      <c r="G321" s="580"/>
      <c r="H321" s="580"/>
    </row>
    <row r="324" ht="15.75">
      <c r="H324" s="6" t="s">
        <v>113</v>
      </c>
    </row>
    <row r="325" ht="15.75">
      <c r="H325" s="6" t="s">
        <v>114</v>
      </c>
    </row>
    <row r="326" ht="15.75">
      <c r="H326" s="6" t="s">
        <v>115</v>
      </c>
    </row>
    <row r="327" ht="15.75">
      <c r="H327" s="6"/>
    </row>
    <row r="328" spans="1:8" ht="18.75" customHeight="1">
      <c r="A328" s="622" t="s">
        <v>116</v>
      </c>
      <c r="B328" s="622"/>
      <c r="C328" s="622"/>
      <c r="D328" s="622"/>
      <c r="E328" s="622"/>
      <c r="F328" s="622"/>
      <c r="G328" s="622"/>
      <c r="H328" s="622"/>
    </row>
    <row r="329" spans="1:8" ht="18.75" customHeight="1">
      <c r="A329" s="622" t="s">
        <v>117</v>
      </c>
      <c r="B329" s="622"/>
      <c r="C329" s="622"/>
      <c r="D329" s="622"/>
      <c r="E329" s="622"/>
      <c r="F329" s="622"/>
      <c r="G329" s="622"/>
      <c r="H329" s="622"/>
    </row>
    <row r="330" ht="15.75">
      <c r="H330" s="6" t="s">
        <v>562</v>
      </c>
    </row>
    <row r="331" ht="15.75">
      <c r="H331" s="6" t="s">
        <v>769</v>
      </c>
    </row>
    <row r="332" ht="15.75">
      <c r="H332" s="6" t="s">
        <v>770</v>
      </c>
    </row>
    <row r="333" ht="15.75">
      <c r="H333" s="361" t="str">
        <f>H11</f>
        <v>                         Добровольский К.А.</v>
      </c>
    </row>
    <row r="334" ht="15.75">
      <c r="H334" s="6" t="s">
        <v>772</v>
      </c>
    </row>
    <row r="335" ht="15.75">
      <c r="H335" s="6" t="s">
        <v>567</v>
      </c>
    </row>
    <row r="336" ht="15.75">
      <c r="A336" s="362"/>
    </row>
    <row r="337" ht="15.75">
      <c r="A337" s="3" t="s">
        <v>192</v>
      </c>
    </row>
    <row r="338" spans="1:8" ht="18.75" customHeight="1">
      <c r="A338" s="623" t="s">
        <v>120</v>
      </c>
      <c r="B338" s="623"/>
      <c r="C338" s="623"/>
      <c r="D338" s="623"/>
      <c r="E338" s="623"/>
      <c r="F338" s="623"/>
      <c r="G338" s="623"/>
      <c r="H338" s="623"/>
    </row>
    <row r="339" spans="1:8" ht="15.75">
      <c r="A339" s="364"/>
      <c r="B339" s="364"/>
      <c r="C339" s="366"/>
      <c r="D339" s="366"/>
      <c r="E339" s="366"/>
      <c r="F339" s="366"/>
      <c r="G339" s="366"/>
      <c r="H339" s="366"/>
    </row>
    <row r="340" spans="1:8" ht="16.5" customHeight="1">
      <c r="A340" s="581" t="s">
        <v>121</v>
      </c>
      <c r="B340" s="559" t="s">
        <v>122</v>
      </c>
      <c r="C340" s="560" t="s">
        <v>123</v>
      </c>
      <c r="D340" s="560"/>
      <c r="E340" s="560"/>
      <c r="F340" s="560"/>
      <c r="G340" s="561" t="s">
        <v>124</v>
      </c>
      <c r="H340" s="581" t="s">
        <v>125</v>
      </c>
    </row>
    <row r="341" spans="1:8" ht="15.75">
      <c r="A341" s="581"/>
      <c r="B341" s="559"/>
      <c r="C341" s="560"/>
      <c r="D341" s="560"/>
      <c r="E341" s="560"/>
      <c r="F341" s="560"/>
      <c r="G341" s="561"/>
      <c r="H341" s="581"/>
    </row>
    <row r="342" spans="1:8" ht="31.5">
      <c r="A342" s="581"/>
      <c r="B342" s="559"/>
      <c r="C342" s="369" t="s">
        <v>126</v>
      </c>
      <c r="D342" s="369" t="s">
        <v>127</v>
      </c>
      <c r="E342" s="370" t="s">
        <v>126</v>
      </c>
      <c r="F342" s="371" t="s">
        <v>127</v>
      </c>
      <c r="G342" s="561"/>
      <c r="H342" s="581"/>
    </row>
    <row r="343" spans="1:8" ht="15.75">
      <c r="A343" s="367">
        <v>1</v>
      </c>
      <c r="B343" s="367">
        <v>2</v>
      </c>
      <c r="C343" s="372">
        <v>3</v>
      </c>
      <c r="D343" s="372">
        <v>4</v>
      </c>
      <c r="E343" s="373"/>
      <c r="F343" s="374"/>
      <c r="G343" s="368">
        <v>5</v>
      </c>
      <c r="H343" s="367">
        <v>6</v>
      </c>
    </row>
    <row r="344" spans="1:8" ht="18.75" customHeight="1">
      <c r="A344" s="375">
        <v>1</v>
      </c>
      <c r="B344" s="582" t="s">
        <v>128</v>
      </c>
      <c r="C344" s="582"/>
      <c r="D344" s="582"/>
      <c r="E344" s="582"/>
      <c r="F344" s="582"/>
      <c r="G344" s="582"/>
      <c r="H344" s="582"/>
    </row>
    <row r="345" spans="1:8" ht="15.75">
      <c r="A345" s="376" t="s">
        <v>594</v>
      </c>
      <c r="B345" s="377" t="s">
        <v>129</v>
      </c>
      <c r="C345" s="378" t="s">
        <v>26</v>
      </c>
      <c r="D345" s="378" t="s">
        <v>26</v>
      </c>
      <c r="E345" s="378" t="s">
        <v>26</v>
      </c>
      <c r="F345" s="378" t="s">
        <v>26</v>
      </c>
      <c r="G345" s="378" t="s">
        <v>26</v>
      </c>
      <c r="H345" s="379" t="s">
        <v>130</v>
      </c>
    </row>
    <row r="346" spans="1:8" ht="15.75">
      <c r="A346" s="376" t="s">
        <v>735</v>
      </c>
      <c r="B346" s="377" t="s">
        <v>131</v>
      </c>
      <c r="C346" s="378" t="s">
        <v>26</v>
      </c>
      <c r="D346" s="378" t="s">
        <v>26</v>
      </c>
      <c r="E346" s="378" t="s">
        <v>26</v>
      </c>
      <c r="F346" s="378" t="s">
        <v>26</v>
      </c>
      <c r="G346" s="378" t="s">
        <v>26</v>
      </c>
      <c r="H346" s="379" t="s">
        <v>130</v>
      </c>
    </row>
    <row r="347" spans="1:8" ht="31.5">
      <c r="A347" s="376" t="s">
        <v>737</v>
      </c>
      <c r="B347" s="381" t="s">
        <v>132</v>
      </c>
      <c r="C347" s="566" t="s">
        <v>82</v>
      </c>
      <c r="D347" s="566" t="s">
        <v>83</v>
      </c>
      <c r="E347" s="378" t="s">
        <v>26</v>
      </c>
      <c r="F347" s="378" t="s">
        <v>26</v>
      </c>
      <c r="G347" s="378" t="s">
        <v>26</v>
      </c>
      <c r="H347" s="379" t="s">
        <v>130</v>
      </c>
    </row>
    <row r="348" spans="1:8" ht="47.25">
      <c r="A348" s="376" t="s">
        <v>739</v>
      </c>
      <c r="B348" s="381" t="s">
        <v>133</v>
      </c>
      <c r="C348" s="566" t="s">
        <v>84</v>
      </c>
      <c r="D348" s="566" t="s">
        <v>85</v>
      </c>
      <c r="E348" s="378" t="s">
        <v>26</v>
      </c>
      <c r="F348" s="378" t="s">
        <v>26</v>
      </c>
      <c r="G348" s="378" t="s">
        <v>26</v>
      </c>
      <c r="H348" s="379" t="s">
        <v>130</v>
      </c>
    </row>
    <row r="349" spans="1:8" ht="15.75">
      <c r="A349" s="376" t="s">
        <v>852</v>
      </c>
      <c r="B349" s="382" t="s">
        <v>134</v>
      </c>
      <c r="C349" s="566" t="s">
        <v>86</v>
      </c>
      <c r="D349" s="566" t="s">
        <v>87</v>
      </c>
      <c r="E349" s="378" t="s">
        <v>26</v>
      </c>
      <c r="F349" s="378" t="s">
        <v>26</v>
      </c>
      <c r="G349" s="378" t="s">
        <v>26</v>
      </c>
      <c r="H349" s="379" t="s">
        <v>130</v>
      </c>
    </row>
    <row r="350" spans="1:8" ht="15.75">
      <c r="A350" s="376" t="s">
        <v>853</v>
      </c>
      <c r="B350" s="382" t="s">
        <v>135</v>
      </c>
      <c r="C350" s="566" t="s">
        <v>82</v>
      </c>
      <c r="D350" s="566" t="s">
        <v>174</v>
      </c>
      <c r="E350" s="378" t="s">
        <v>26</v>
      </c>
      <c r="F350" s="378" t="s">
        <v>26</v>
      </c>
      <c r="G350" s="378" t="s">
        <v>26</v>
      </c>
      <c r="H350" s="379" t="s">
        <v>130</v>
      </c>
    </row>
    <row r="351" spans="1:8" ht="18.75" customHeight="1">
      <c r="A351" s="376">
        <v>2</v>
      </c>
      <c r="B351" s="579" t="s">
        <v>136</v>
      </c>
      <c r="C351" s="579"/>
      <c r="D351" s="579"/>
      <c r="E351" s="579"/>
      <c r="F351" s="579"/>
      <c r="G351" s="579"/>
      <c r="H351" s="579"/>
    </row>
    <row r="352" spans="1:9" ht="31.5">
      <c r="A352" s="376" t="s">
        <v>743</v>
      </c>
      <c r="B352" s="381" t="s">
        <v>137</v>
      </c>
      <c r="C352" s="378" t="s">
        <v>138</v>
      </c>
      <c r="D352" s="378" t="s">
        <v>169</v>
      </c>
      <c r="E352" s="378" t="s">
        <v>26</v>
      </c>
      <c r="F352" s="378" t="s">
        <v>26</v>
      </c>
      <c r="G352" s="383">
        <v>0</v>
      </c>
      <c r="H352" s="379"/>
      <c r="I352" s="380"/>
    </row>
    <row r="353" spans="1:9" ht="47.25">
      <c r="A353" s="376" t="s">
        <v>746</v>
      </c>
      <c r="B353" s="381" t="s">
        <v>140</v>
      </c>
      <c r="C353" s="378" t="s">
        <v>26</v>
      </c>
      <c r="D353" s="378" t="s">
        <v>26</v>
      </c>
      <c r="E353" s="378" t="s">
        <v>26</v>
      </c>
      <c r="F353" s="378" t="s">
        <v>26</v>
      </c>
      <c r="G353" s="378" t="s">
        <v>26</v>
      </c>
      <c r="H353" s="379" t="s">
        <v>130</v>
      </c>
      <c r="I353" s="380"/>
    </row>
    <row r="354" spans="1:9" ht="31.5">
      <c r="A354" s="376" t="s">
        <v>141</v>
      </c>
      <c r="B354" s="381" t="s">
        <v>142</v>
      </c>
      <c r="C354" s="378" t="s">
        <v>26</v>
      </c>
      <c r="D354" s="378" t="s">
        <v>26</v>
      </c>
      <c r="E354" s="378" t="s">
        <v>26</v>
      </c>
      <c r="F354" s="378" t="s">
        <v>26</v>
      </c>
      <c r="G354" s="378" t="s">
        <v>26</v>
      </c>
      <c r="H354" s="379" t="s">
        <v>130</v>
      </c>
      <c r="I354" s="380"/>
    </row>
    <row r="355" spans="1:9" ht="18.75" customHeight="1">
      <c r="A355" s="376">
        <v>3</v>
      </c>
      <c r="B355" s="579" t="s">
        <v>143</v>
      </c>
      <c r="C355" s="579"/>
      <c r="D355" s="579"/>
      <c r="E355" s="579"/>
      <c r="F355" s="579"/>
      <c r="G355" s="579"/>
      <c r="H355" s="579"/>
      <c r="I355" s="380"/>
    </row>
    <row r="356" spans="1:9" ht="31.5">
      <c r="A356" s="376" t="s">
        <v>756</v>
      </c>
      <c r="B356" s="382" t="s">
        <v>144</v>
      </c>
      <c r="C356" s="378" t="s">
        <v>26</v>
      </c>
      <c r="D356" s="378" t="s">
        <v>26</v>
      </c>
      <c r="E356" s="378" t="s">
        <v>26</v>
      </c>
      <c r="F356" s="378" t="s">
        <v>26</v>
      </c>
      <c r="G356" s="378" t="s">
        <v>26</v>
      </c>
      <c r="H356" s="379" t="s">
        <v>130</v>
      </c>
      <c r="I356" s="380"/>
    </row>
    <row r="357" spans="1:9" ht="15.75">
      <c r="A357" s="376" t="s">
        <v>757</v>
      </c>
      <c r="B357" s="382" t="s">
        <v>145</v>
      </c>
      <c r="C357" s="378" t="s">
        <v>138</v>
      </c>
      <c r="D357" s="378" t="s">
        <v>146</v>
      </c>
      <c r="E357" s="378" t="s">
        <v>26</v>
      </c>
      <c r="F357" s="378" t="s">
        <v>26</v>
      </c>
      <c r="G357" s="383">
        <v>0</v>
      </c>
      <c r="H357" s="379"/>
      <c r="I357" s="380"/>
    </row>
    <row r="358" spans="1:9" ht="15.75">
      <c r="A358" s="376" t="s">
        <v>147</v>
      </c>
      <c r="B358" s="382" t="s">
        <v>148</v>
      </c>
      <c r="C358" s="378" t="s">
        <v>149</v>
      </c>
      <c r="D358" s="378" t="s">
        <v>154</v>
      </c>
      <c r="E358" s="378" t="s">
        <v>26</v>
      </c>
      <c r="F358" s="378" t="s">
        <v>26</v>
      </c>
      <c r="G358" s="383">
        <v>0</v>
      </c>
      <c r="H358" s="379"/>
      <c r="I358" s="380"/>
    </row>
    <row r="359" spans="1:9" ht="15.75">
      <c r="A359" s="376" t="s">
        <v>151</v>
      </c>
      <c r="B359" s="382" t="s">
        <v>152</v>
      </c>
      <c r="C359" s="378" t="s">
        <v>157</v>
      </c>
      <c r="D359" s="378" t="s">
        <v>139</v>
      </c>
      <c r="E359" s="378" t="s">
        <v>26</v>
      </c>
      <c r="F359" s="378" t="s">
        <v>26</v>
      </c>
      <c r="G359" s="383">
        <v>0</v>
      </c>
      <c r="H359" s="379"/>
      <c r="I359" s="380"/>
    </row>
    <row r="360" spans="1:9" ht="15.75">
      <c r="A360" s="376" t="s">
        <v>155</v>
      </c>
      <c r="B360" s="382" t="s">
        <v>156</v>
      </c>
      <c r="C360" s="378" t="s">
        <v>170</v>
      </c>
      <c r="D360" s="378" t="s">
        <v>171</v>
      </c>
      <c r="E360" s="378" t="s">
        <v>26</v>
      </c>
      <c r="F360" s="378" t="s">
        <v>26</v>
      </c>
      <c r="G360" s="383">
        <v>0</v>
      </c>
      <c r="H360" s="379"/>
      <c r="I360" s="380"/>
    </row>
    <row r="361" spans="1:8" ht="18.75" customHeight="1">
      <c r="A361" s="376">
        <v>4</v>
      </c>
      <c r="B361" s="579" t="s">
        <v>159</v>
      </c>
      <c r="C361" s="579"/>
      <c r="D361" s="579"/>
      <c r="E361" s="579"/>
      <c r="F361" s="579"/>
      <c r="G361" s="579"/>
      <c r="H361" s="579"/>
    </row>
    <row r="362" spans="1:8" ht="31.5">
      <c r="A362" s="376" t="s">
        <v>160</v>
      </c>
      <c r="B362" s="381" t="s">
        <v>161</v>
      </c>
      <c r="C362" s="378" t="s">
        <v>26</v>
      </c>
      <c r="D362" s="378" t="s">
        <v>26</v>
      </c>
      <c r="E362" s="378" t="s">
        <v>26</v>
      </c>
      <c r="F362" s="378" t="s">
        <v>26</v>
      </c>
      <c r="G362" s="378" t="s">
        <v>26</v>
      </c>
      <c r="H362" s="379" t="s">
        <v>130</v>
      </c>
    </row>
    <row r="363" spans="1:8" ht="47.25">
      <c r="A363" s="376" t="s">
        <v>162</v>
      </c>
      <c r="B363" s="381" t="s">
        <v>163</v>
      </c>
      <c r="C363" s="378" t="s">
        <v>26</v>
      </c>
      <c r="D363" s="378" t="s">
        <v>26</v>
      </c>
      <c r="E363" s="378" t="s">
        <v>26</v>
      </c>
      <c r="F363" s="378" t="s">
        <v>26</v>
      </c>
      <c r="G363" s="378" t="s">
        <v>26</v>
      </c>
      <c r="H363" s="379" t="s">
        <v>130</v>
      </c>
    </row>
    <row r="364" spans="1:8" ht="31.5">
      <c r="A364" s="376" t="s">
        <v>164</v>
      </c>
      <c r="B364" s="382" t="s">
        <v>165</v>
      </c>
      <c r="C364" s="378" t="s">
        <v>26</v>
      </c>
      <c r="D364" s="378" t="s">
        <v>26</v>
      </c>
      <c r="E364" s="378" t="s">
        <v>26</v>
      </c>
      <c r="F364" s="378" t="s">
        <v>26</v>
      </c>
      <c r="G364" s="378" t="s">
        <v>26</v>
      </c>
      <c r="H364" s="379" t="s">
        <v>130</v>
      </c>
    </row>
    <row r="365" spans="1:8" ht="31.5">
      <c r="A365" s="384" t="s">
        <v>166</v>
      </c>
      <c r="B365" s="385" t="s">
        <v>167</v>
      </c>
      <c r="C365" s="386" t="s">
        <v>26</v>
      </c>
      <c r="D365" s="386" t="s">
        <v>26</v>
      </c>
      <c r="E365" s="386" t="s">
        <v>26</v>
      </c>
      <c r="F365" s="386" t="s">
        <v>26</v>
      </c>
      <c r="G365" s="386" t="s">
        <v>26</v>
      </c>
      <c r="H365" s="387" t="s">
        <v>130</v>
      </c>
    </row>
    <row r="366" spans="1:8" ht="15.75">
      <c r="A366" s="388"/>
      <c r="B366" s="389"/>
      <c r="C366" s="390"/>
      <c r="D366" s="390"/>
      <c r="E366" s="390"/>
      <c r="F366" s="390"/>
      <c r="G366" s="390"/>
      <c r="H366" s="98"/>
    </row>
    <row r="367" spans="1:8" ht="18.75" customHeight="1">
      <c r="A367" s="580" t="s">
        <v>168</v>
      </c>
      <c r="B367" s="580"/>
      <c r="C367" s="580"/>
      <c r="D367" s="580"/>
      <c r="E367" s="580"/>
      <c r="F367" s="580"/>
      <c r="G367" s="580"/>
      <c r="H367" s="580"/>
    </row>
    <row r="370" ht="15.75">
      <c r="H370" s="6" t="s">
        <v>113</v>
      </c>
    </row>
    <row r="371" ht="15.75">
      <c r="H371" s="6" t="s">
        <v>114</v>
      </c>
    </row>
    <row r="372" ht="15.75">
      <c r="H372" s="6" t="s">
        <v>115</v>
      </c>
    </row>
    <row r="373" ht="15.75">
      <c r="H373" s="6"/>
    </row>
    <row r="374" spans="1:8" ht="18.75" customHeight="1">
      <c r="A374" s="622" t="s">
        <v>116</v>
      </c>
      <c r="B374" s="622"/>
      <c r="C374" s="622"/>
      <c r="D374" s="622"/>
      <c r="E374" s="622"/>
      <c r="F374" s="622"/>
      <c r="G374" s="622"/>
      <c r="H374" s="622"/>
    </row>
    <row r="375" spans="1:8" ht="18.75" customHeight="1">
      <c r="A375" s="622" t="s">
        <v>117</v>
      </c>
      <c r="B375" s="622"/>
      <c r="C375" s="622"/>
      <c r="D375" s="622"/>
      <c r="E375" s="622"/>
      <c r="F375" s="622"/>
      <c r="G375" s="622"/>
      <c r="H375" s="622"/>
    </row>
    <row r="376" ht="15.75">
      <c r="H376" s="6" t="s">
        <v>562</v>
      </c>
    </row>
    <row r="377" ht="15.75">
      <c r="H377" s="6" t="s">
        <v>769</v>
      </c>
    </row>
    <row r="378" ht="15.75">
      <c r="H378" s="6" t="s">
        <v>770</v>
      </c>
    </row>
    <row r="379" ht="15.75">
      <c r="H379" s="361" t="str">
        <f>H11</f>
        <v>                         Добровольский К.А.</v>
      </c>
    </row>
    <row r="380" ht="15.75">
      <c r="H380" s="6" t="s">
        <v>772</v>
      </c>
    </row>
    <row r="381" ht="15.75">
      <c r="H381" s="6" t="s">
        <v>567</v>
      </c>
    </row>
    <row r="382" ht="15.75">
      <c r="A382" s="362"/>
    </row>
    <row r="383" ht="15.75">
      <c r="A383" s="3" t="s">
        <v>193</v>
      </c>
    </row>
    <row r="384" spans="1:8" ht="18.75" customHeight="1">
      <c r="A384" s="623" t="s">
        <v>120</v>
      </c>
      <c r="B384" s="623"/>
      <c r="C384" s="623"/>
      <c r="D384" s="623"/>
      <c r="E384" s="623"/>
      <c r="F384" s="623"/>
      <c r="G384" s="623"/>
      <c r="H384" s="623"/>
    </row>
    <row r="385" spans="1:8" ht="15.75">
      <c r="A385" s="364"/>
      <c r="B385" s="364"/>
      <c r="C385" s="366"/>
      <c r="D385" s="366"/>
      <c r="E385" s="366"/>
      <c r="F385" s="366"/>
      <c r="G385" s="366"/>
      <c r="H385" s="366"/>
    </row>
    <row r="386" spans="1:8" ht="16.5" customHeight="1">
      <c r="A386" s="581" t="s">
        <v>121</v>
      </c>
      <c r="B386" s="559" t="s">
        <v>122</v>
      </c>
      <c r="C386" s="560" t="s">
        <v>123</v>
      </c>
      <c r="D386" s="560"/>
      <c r="E386" s="560"/>
      <c r="F386" s="560"/>
      <c r="G386" s="561" t="s">
        <v>124</v>
      </c>
      <c r="H386" s="581" t="s">
        <v>125</v>
      </c>
    </row>
    <row r="387" spans="1:14" s="98" customFormat="1" ht="15.75">
      <c r="A387" s="581"/>
      <c r="B387" s="559"/>
      <c r="C387" s="560"/>
      <c r="D387" s="560"/>
      <c r="E387" s="560"/>
      <c r="F387" s="560"/>
      <c r="G387" s="561"/>
      <c r="H387" s="581"/>
      <c r="I387" s="8"/>
      <c r="J387" s="380"/>
      <c r="K387" s="380"/>
      <c r="L387" s="380"/>
      <c r="M387" s="380"/>
      <c r="N387" s="380"/>
    </row>
    <row r="388" spans="1:14" s="98" customFormat="1" ht="31.5">
      <c r="A388" s="581"/>
      <c r="B388" s="559"/>
      <c r="C388" s="369" t="s">
        <v>126</v>
      </c>
      <c r="D388" s="369" t="s">
        <v>127</v>
      </c>
      <c r="E388" s="370" t="s">
        <v>126</v>
      </c>
      <c r="F388" s="371" t="s">
        <v>127</v>
      </c>
      <c r="G388" s="561"/>
      <c r="H388" s="581"/>
      <c r="I388" s="8"/>
      <c r="J388" s="380"/>
      <c r="K388" s="380"/>
      <c r="L388" s="380"/>
      <c r="M388" s="380"/>
      <c r="N388" s="380"/>
    </row>
    <row r="389" spans="1:14" s="98" customFormat="1" ht="15.75">
      <c r="A389" s="367">
        <v>1</v>
      </c>
      <c r="B389" s="367">
        <v>2</v>
      </c>
      <c r="C389" s="372">
        <v>3</v>
      </c>
      <c r="D389" s="372">
        <v>4</v>
      </c>
      <c r="E389" s="373"/>
      <c r="F389" s="374"/>
      <c r="G389" s="368">
        <v>5</v>
      </c>
      <c r="H389" s="367">
        <v>6</v>
      </c>
      <c r="I389" s="8"/>
      <c r="J389" s="380"/>
      <c r="K389" s="380"/>
      <c r="L389" s="380"/>
      <c r="M389" s="380"/>
      <c r="N389" s="380"/>
    </row>
    <row r="390" spans="1:14" s="98" customFormat="1" ht="18.75" customHeight="1">
      <c r="A390" s="375">
        <v>1</v>
      </c>
      <c r="B390" s="582" t="s">
        <v>128</v>
      </c>
      <c r="C390" s="582"/>
      <c r="D390" s="582"/>
      <c r="E390" s="582"/>
      <c r="F390" s="582"/>
      <c r="G390" s="582"/>
      <c r="H390" s="582"/>
      <c r="I390" s="8"/>
      <c r="J390" s="380"/>
      <c r="K390" s="380"/>
      <c r="L390" s="380"/>
      <c r="M390" s="380"/>
      <c r="N390" s="380"/>
    </row>
    <row r="391" spans="1:14" s="98" customFormat="1" ht="15.75">
      <c r="A391" s="376" t="s">
        <v>594</v>
      </c>
      <c r="B391" s="377" t="s">
        <v>129</v>
      </c>
      <c r="C391" s="378" t="s">
        <v>26</v>
      </c>
      <c r="D391" s="378" t="s">
        <v>26</v>
      </c>
      <c r="E391" s="378" t="s">
        <v>26</v>
      </c>
      <c r="F391" s="378" t="s">
        <v>26</v>
      </c>
      <c r="G391" s="378" t="s">
        <v>26</v>
      </c>
      <c r="H391" s="379" t="s">
        <v>130</v>
      </c>
      <c r="I391" s="8"/>
      <c r="J391" s="380"/>
      <c r="K391" s="380"/>
      <c r="L391" s="380"/>
      <c r="M391" s="380"/>
      <c r="N391" s="380"/>
    </row>
    <row r="392" spans="1:14" s="98" customFormat="1" ht="15.75">
      <c r="A392" s="376" t="s">
        <v>735</v>
      </c>
      <c r="B392" s="377" t="s">
        <v>131</v>
      </c>
      <c r="C392" s="378" t="s">
        <v>26</v>
      </c>
      <c r="D392" s="378" t="s">
        <v>26</v>
      </c>
      <c r="E392" s="378" t="s">
        <v>26</v>
      </c>
      <c r="F392" s="378" t="s">
        <v>26</v>
      </c>
      <c r="G392" s="378" t="s">
        <v>26</v>
      </c>
      <c r="H392" s="379" t="s">
        <v>130</v>
      </c>
      <c r="I392" s="8"/>
      <c r="J392" s="380"/>
      <c r="K392" s="380"/>
      <c r="L392" s="380"/>
      <c r="M392" s="380"/>
      <c r="N392" s="380"/>
    </row>
    <row r="393" spans="1:14" s="98" customFormat="1" ht="31.5">
      <c r="A393" s="376" t="s">
        <v>737</v>
      </c>
      <c r="B393" s="381" t="s">
        <v>132</v>
      </c>
      <c r="C393" s="378" t="s">
        <v>26</v>
      </c>
      <c r="D393" s="378" t="s">
        <v>26</v>
      </c>
      <c r="E393" s="378" t="s">
        <v>26</v>
      </c>
      <c r="F393" s="378" t="s">
        <v>26</v>
      </c>
      <c r="G393" s="378" t="s">
        <v>26</v>
      </c>
      <c r="H393" s="379" t="s">
        <v>130</v>
      </c>
      <c r="I393" s="8"/>
      <c r="J393" s="380"/>
      <c r="K393" s="380"/>
      <c r="L393" s="380"/>
      <c r="M393" s="380"/>
      <c r="N393" s="380"/>
    </row>
    <row r="394" spans="1:14" s="98" customFormat="1" ht="47.25">
      <c r="A394" s="376" t="s">
        <v>739</v>
      </c>
      <c r="B394" s="381" t="s">
        <v>133</v>
      </c>
      <c r="C394" s="378" t="s">
        <v>26</v>
      </c>
      <c r="D394" s="378" t="s">
        <v>26</v>
      </c>
      <c r="E394" s="378" t="s">
        <v>26</v>
      </c>
      <c r="F394" s="378" t="s">
        <v>26</v>
      </c>
      <c r="G394" s="378" t="s">
        <v>26</v>
      </c>
      <c r="H394" s="379" t="s">
        <v>130</v>
      </c>
      <c r="I394" s="8"/>
      <c r="J394" s="380"/>
      <c r="K394" s="380"/>
      <c r="L394" s="380"/>
      <c r="M394" s="380"/>
      <c r="N394" s="380"/>
    </row>
    <row r="395" spans="1:14" s="98" customFormat="1" ht="15.75">
      <c r="A395" s="376" t="s">
        <v>852</v>
      </c>
      <c r="B395" s="382" t="s">
        <v>134</v>
      </c>
      <c r="C395" s="378" t="s">
        <v>26</v>
      </c>
      <c r="D395" s="378" t="s">
        <v>26</v>
      </c>
      <c r="E395" s="378" t="s">
        <v>26</v>
      </c>
      <c r="F395" s="378" t="s">
        <v>26</v>
      </c>
      <c r="G395" s="378" t="s">
        <v>26</v>
      </c>
      <c r="H395" s="379" t="s">
        <v>130</v>
      </c>
      <c r="I395" s="8"/>
      <c r="J395" s="380"/>
      <c r="K395" s="380"/>
      <c r="L395" s="380"/>
      <c r="M395" s="380"/>
      <c r="N395" s="380"/>
    </row>
    <row r="396" spans="1:8" ht="15.75">
      <c r="A396" s="376" t="s">
        <v>853</v>
      </c>
      <c r="B396" s="382" t="s">
        <v>135</v>
      </c>
      <c r="C396" s="378" t="s">
        <v>26</v>
      </c>
      <c r="D396" s="378" t="s">
        <v>26</v>
      </c>
      <c r="E396" s="378" t="s">
        <v>26</v>
      </c>
      <c r="F396" s="378" t="s">
        <v>26</v>
      </c>
      <c r="G396" s="378" t="s">
        <v>26</v>
      </c>
      <c r="H396" s="379" t="s">
        <v>130</v>
      </c>
    </row>
    <row r="397" spans="1:8" ht="18.75" customHeight="1">
      <c r="A397" s="376">
        <v>2</v>
      </c>
      <c r="B397" s="579" t="s">
        <v>136</v>
      </c>
      <c r="C397" s="579"/>
      <c r="D397" s="579"/>
      <c r="E397" s="579"/>
      <c r="F397" s="579"/>
      <c r="G397" s="579"/>
      <c r="H397" s="579"/>
    </row>
    <row r="398" spans="1:9" ht="31.5">
      <c r="A398" s="376" t="s">
        <v>743</v>
      </c>
      <c r="B398" s="381" t="s">
        <v>137</v>
      </c>
      <c r="C398" s="378" t="s">
        <v>194</v>
      </c>
      <c r="D398" s="378" t="s">
        <v>139</v>
      </c>
      <c r="E398" s="378" t="s">
        <v>26</v>
      </c>
      <c r="F398" s="378" t="s">
        <v>26</v>
      </c>
      <c r="G398" s="383">
        <v>0</v>
      </c>
      <c r="H398" s="379"/>
      <c r="I398" s="380"/>
    </row>
    <row r="399" spans="1:9" ht="47.25">
      <c r="A399" s="376" t="s">
        <v>746</v>
      </c>
      <c r="B399" s="381" t="s">
        <v>140</v>
      </c>
      <c r="C399" s="378" t="s">
        <v>26</v>
      </c>
      <c r="D399" s="378" t="s">
        <v>26</v>
      </c>
      <c r="E399" s="378" t="s">
        <v>26</v>
      </c>
      <c r="F399" s="378" t="s">
        <v>26</v>
      </c>
      <c r="G399" s="378" t="s">
        <v>26</v>
      </c>
      <c r="H399" s="379" t="s">
        <v>130</v>
      </c>
      <c r="I399" s="380"/>
    </row>
    <row r="400" spans="1:9" ht="31.5">
      <c r="A400" s="376" t="s">
        <v>141</v>
      </c>
      <c r="B400" s="381" t="s">
        <v>142</v>
      </c>
      <c r="C400" s="378" t="s">
        <v>26</v>
      </c>
      <c r="D400" s="378" t="s">
        <v>26</v>
      </c>
      <c r="E400" s="378" t="s">
        <v>26</v>
      </c>
      <c r="F400" s="378" t="s">
        <v>26</v>
      </c>
      <c r="G400" s="378" t="s">
        <v>26</v>
      </c>
      <c r="H400" s="379" t="s">
        <v>130</v>
      </c>
      <c r="I400" s="380"/>
    </row>
    <row r="401" spans="1:9" ht="18.75" customHeight="1">
      <c r="A401" s="376">
        <v>3</v>
      </c>
      <c r="B401" s="579" t="s">
        <v>143</v>
      </c>
      <c r="C401" s="579"/>
      <c r="D401" s="579"/>
      <c r="E401" s="579"/>
      <c r="F401" s="579"/>
      <c r="G401" s="579"/>
      <c r="H401" s="579"/>
      <c r="I401" s="380"/>
    </row>
    <row r="402" spans="1:9" ht="31.5">
      <c r="A402" s="376" t="s">
        <v>756</v>
      </c>
      <c r="B402" s="382" t="s">
        <v>144</v>
      </c>
      <c r="C402" s="378" t="s">
        <v>26</v>
      </c>
      <c r="D402" s="378" t="s">
        <v>26</v>
      </c>
      <c r="E402" s="378" t="s">
        <v>26</v>
      </c>
      <c r="F402" s="378" t="s">
        <v>26</v>
      </c>
      <c r="G402" s="378" t="s">
        <v>26</v>
      </c>
      <c r="H402" s="379" t="s">
        <v>130</v>
      </c>
      <c r="I402" s="380"/>
    </row>
    <row r="403" spans="1:9" ht="15.75">
      <c r="A403" s="376" t="s">
        <v>757</v>
      </c>
      <c r="B403" s="382" t="s">
        <v>145</v>
      </c>
      <c r="C403" s="378" t="s">
        <v>195</v>
      </c>
      <c r="D403" s="378" t="s">
        <v>183</v>
      </c>
      <c r="E403" s="378" t="s">
        <v>26</v>
      </c>
      <c r="F403" s="378" t="s">
        <v>26</v>
      </c>
      <c r="G403" s="383">
        <v>0</v>
      </c>
      <c r="H403" s="379"/>
      <c r="I403" s="380"/>
    </row>
    <row r="404" spans="1:9" ht="15.75">
      <c r="A404" s="376" t="s">
        <v>147</v>
      </c>
      <c r="B404" s="382" t="s">
        <v>148</v>
      </c>
      <c r="C404" s="378" t="s">
        <v>189</v>
      </c>
      <c r="D404" s="378" t="s">
        <v>150</v>
      </c>
      <c r="E404" s="378" t="s">
        <v>26</v>
      </c>
      <c r="F404" s="378" t="s">
        <v>26</v>
      </c>
      <c r="G404" s="383">
        <v>0</v>
      </c>
      <c r="H404" s="379"/>
      <c r="I404" s="380"/>
    </row>
    <row r="405" spans="1:9" ht="15.75">
      <c r="A405" s="376" t="s">
        <v>151</v>
      </c>
      <c r="B405" s="382" t="s">
        <v>152</v>
      </c>
      <c r="C405" s="378" t="s">
        <v>153</v>
      </c>
      <c r="D405" s="378" t="s">
        <v>154</v>
      </c>
      <c r="E405" s="378" t="s">
        <v>26</v>
      </c>
      <c r="F405" s="378" t="s">
        <v>26</v>
      </c>
      <c r="G405" s="383">
        <v>0</v>
      </c>
      <c r="H405" s="379"/>
      <c r="I405" s="380"/>
    </row>
    <row r="406" spans="1:9" ht="15.75">
      <c r="A406" s="376" t="s">
        <v>155</v>
      </c>
      <c r="B406" s="382" t="s">
        <v>156</v>
      </c>
      <c r="C406" s="378" t="s">
        <v>157</v>
      </c>
      <c r="D406" s="378" t="s">
        <v>158</v>
      </c>
      <c r="E406" s="378" t="s">
        <v>26</v>
      </c>
      <c r="F406" s="378" t="s">
        <v>26</v>
      </c>
      <c r="G406" s="383">
        <v>0</v>
      </c>
      <c r="H406" s="379"/>
      <c r="I406" s="380"/>
    </row>
    <row r="407" spans="1:8" ht="18.75" customHeight="1">
      <c r="A407" s="376">
        <v>4</v>
      </c>
      <c r="B407" s="579" t="s">
        <v>159</v>
      </c>
      <c r="C407" s="579"/>
      <c r="D407" s="579"/>
      <c r="E407" s="579"/>
      <c r="F407" s="579"/>
      <c r="G407" s="579"/>
      <c r="H407" s="579"/>
    </row>
    <row r="408" spans="1:8" ht="31.5">
      <c r="A408" s="376" t="s">
        <v>160</v>
      </c>
      <c r="B408" s="381" t="s">
        <v>161</v>
      </c>
      <c r="C408" s="378" t="s">
        <v>26</v>
      </c>
      <c r="D408" s="378" t="s">
        <v>26</v>
      </c>
      <c r="E408" s="378" t="s">
        <v>26</v>
      </c>
      <c r="F408" s="378" t="s">
        <v>26</v>
      </c>
      <c r="G408" s="378" t="s">
        <v>26</v>
      </c>
      <c r="H408" s="379" t="s">
        <v>130</v>
      </c>
    </row>
    <row r="409" spans="1:8" ht="47.25">
      <c r="A409" s="376" t="s">
        <v>162</v>
      </c>
      <c r="B409" s="381" t="s">
        <v>163</v>
      </c>
      <c r="C409" s="378" t="s">
        <v>26</v>
      </c>
      <c r="D409" s="378" t="s">
        <v>26</v>
      </c>
      <c r="E409" s="378" t="s">
        <v>26</v>
      </c>
      <c r="F409" s="378" t="s">
        <v>26</v>
      </c>
      <c r="G409" s="378" t="s">
        <v>26</v>
      </c>
      <c r="H409" s="379" t="s">
        <v>130</v>
      </c>
    </row>
    <row r="410" spans="1:8" ht="31.5">
      <c r="A410" s="376" t="s">
        <v>164</v>
      </c>
      <c r="B410" s="382" t="s">
        <v>165</v>
      </c>
      <c r="C410" s="378" t="s">
        <v>26</v>
      </c>
      <c r="D410" s="378" t="s">
        <v>26</v>
      </c>
      <c r="E410" s="378" t="s">
        <v>26</v>
      </c>
      <c r="F410" s="378" t="s">
        <v>26</v>
      </c>
      <c r="G410" s="378" t="s">
        <v>26</v>
      </c>
      <c r="H410" s="379" t="s">
        <v>130</v>
      </c>
    </row>
    <row r="411" spans="1:8" ht="31.5">
      <c r="A411" s="384" t="s">
        <v>166</v>
      </c>
      <c r="B411" s="385" t="s">
        <v>167</v>
      </c>
      <c r="C411" s="386" t="s">
        <v>26</v>
      </c>
      <c r="D411" s="386" t="s">
        <v>26</v>
      </c>
      <c r="E411" s="386" t="s">
        <v>26</v>
      </c>
      <c r="F411" s="386" t="s">
        <v>26</v>
      </c>
      <c r="G411" s="386" t="s">
        <v>26</v>
      </c>
      <c r="H411" s="387" t="s">
        <v>130</v>
      </c>
    </row>
    <row r="412" spans="1:8" ht="15.75">
      <c r="A412" s="388"/>
      <c r="B412" s="389"/>
      <c r="C412" s="390"/>
      <c r="D412" s="390"/>
      <c r="E412" s="390"/>
      <c r="F412" s="390"/>
      <c r="G412" s="390"/>
      <c r="H412" s="98"/>
    </row>
    <row r="413" spans="1:8" ht="18.75" customHeight="1">
      <c r="A413" s="580" t="s">
        <v>168</v>
      </c>
      <c r="B413" s="580"/>
      <c r="C413" s="580"/>
      <c r="D413" s="580"/>
      <c r="E413" s="580"/>
      <c r="F413" s="580"/>
      <c r="G413" s="580"/>
      <c r="H413" s="580"/>
    </row>
    <row r="416" ht="15.75">
      <c r="H416" s="6" t="s">
        <v>113</v>
      </c>
    </row>
    <row r="417" ht="15.75">
      <c r="H417" s="6" t="s">
        <v>114</v>
      </c>
    </row>
    <row r="418" ht="15.75">
      <c r="H418" s="6" t="s">
        <v>115</v>
      </c>
    </row>
    <row r="419" ht="15.75">
      <c r="H419" s="6"/>
    </row>
    <row r="420" spans="1:8" ht="18.75" customHeight="1">
      <c r="A420" s="622" t="s">
        <v>116</v>
      </c>
      <c r="B420" s="622"/>
      <c r="C420" s="622"/>
      <c r="D420" s="622"/>
      <c r="E420" s="622"/>
      <c r="F420" s="622"/>
      <c r="G420" s="622"/>
      <c r="H420" s="622"/>
    </row>
    <row r="421" spans="1:8" ht="18.75" customHeight="1">
      <c r="A421" s="622" t="s">
        <v>117</v>
      </c>
      <c r="B421" s="622"/>
      <c r="C421" s="622"/>
      <c r="D421" s="622"/>
      <c r="E421" s="622"/>
      <c r="F421" s="622"/>
      <c r="G421" s="622"/>
      <c r="H421" s="622"/>
    </row>
    <row r="422" ht="15.75">
      <c r="H422" s="6" t="s">
        <v>562</v>
      </c>
    </row>
    <row r="423" ht="15.75">
      <c r="H423" s="6" t="s">
        <v>769</v>
      </c>
    </row>
    <row r="424" ht="15.75">
      <c r="H424" s="6" t="s">
        <v>770</v>
      </c>
    </row>
    <row r="425" ht="15.75">
      <c r="H425" s="361" t="str">
        <f>H11</f>
        <v>                         Добровольский К.А.</v>
      </c>
    </row>
    <row r="426" ht="15.75">
      <c r="H426" s="6" t="s">
        <v>772</v>
      </c>
    </row>
    <row r="427" ht="15.75">
      <c r="H427" s="6" t="s">
        <v>567</v>
      </c>
    </row>
    <row r="428" ht="15.75">
      <c r="A428" s="362"/>
    </row>
    <row r="429" spans="1:3" ht="15.75">
      <c r="A429" s="3" t="s">
        <v>196</v>
      </c>
      <c r="C429" s="8"/>
    </row>
    <row r="430" spans="1:8" ht="18.75" customHeight="1">
      <c r="A430" s="623" t="s">
        <v>120</v>
      </c>
      <c r="B430" s="623"/>
      <c r="C430" s="623"/>
      <c r="D430" s="623"/>
      <c r="E430" s="623"/>
      <c r="F430" s="623"/>
      <c r="G430" s="623"/>
      <c r="H430" s="623"/>
    </row>
    <row r="431" spans="1:8" ht="15.75">
      <c r="A431" s="364"/>
      <c r="B431" s="364"/>
      <c r="C431" s="366"/>
      <c r="D431" s="366"/>
      <c r="E431" s="366"/>
      <c r="F431" s="366"/>
      <c r="G431" s="366"/>
      <c r="H431" s="366"/>
    </row>
    <row r="432" spans="1:8" ht="16.5" customHeight="1">
      <c r="A432" s="581" t="s">
        <v>121</v>
      </c>
      <c r="B432" s="559" t="s">
        <v>122</v>
      </c>
      <c r="C432" s="560" t="s">
        <v>123</v>
      </c>
      <c r="D432" s="560"/>
      <c r="E432" s="560"/>
      <c r="F432" s="560"/>
      <c r="G432" s="561" t="s">
        <v>124</v>
      </c>
      <c r="H432" s="581" t="s">
        <v>125</v>
      </c>
    </row>
    <row r="433" spans="1:8" ht="15.75">
      <c r="A433" s="581"/>
      <c r="B433" s="559"/>
      <c r="C433" s="560"/>
      <c r="D433" s="560"/>
      <c r="E433" s="560"/>
      <c r="F433" s="560"/>
      <c r="G433" s="561"/>
      <c r="H433" s="581"/>
    </row>
    <row r="434" spans="1:8" ht="31.5">
      <c r="A434" s="581"/>
      <c r="B434" s="559"/>
      <c r="C434" s="369" t="s">
        <v>126</v>
      </c>
      <c r="D434" s="369" t="s">
        <v>127</v>
      </c>
      <c r="E434" s="370" t="s">
        <v>126</v>
      </c>
      <c r="F434" s="371" t="s">
        <v>127</v>
      </c>
      <c r="G434" s="561"/>
      <c r="H434" s="581"/>
    </row>
    <row r="435" spans="1:8" ht="15.75">
      <c r="A435" s="367">
        <v>1</v>
      </c>
      <c r="B435" s="367">
        <v>2</v>
      </c>
      <c r="C435" s="372">
        <v>3</v>
      </c>
      <c r="D435" s="372">
        <v>4</v>
      </c>
      <c r="E435" s="373"/>
      <c r="F435" s="374"/>
      <c r="G435" s="368">
        <v>5</v>
      </c>
      <c r="H435" s="367">
        <v>6</v>
      </c>
    </row>
    <row r="436" spans="1:14" s="98" customFormat="1" ht="18.75" customHeight="1">
      <c r="A436" s="375">
        <v>1</v>
      </c>
      <c r="B436" s="582" t="s">
        <v>128</v>
      </c>
      <c r="C436" s="582"/>
      <c r="D436" s="582"/>
      <c r="E436" s="582"/>
      <c r="F436" s="582"/>
      <c r="G436" s="582"/>
      <c r="H436" s="582"/>
      <c r="I436" s="8"/>
      <c r="J436" s="380"/>
      <c r="K436" s="380"/>
      <c r="L436" s="380"/>
      <c r="M436" s="380"/>
      <c r="N436" s="380"/>
    </row>
    <row r="437" spans="1:14" s="98" customFormat="1" ht="15.75">
      <c r="A437" s="376" t="s">
        <v>594</v>
      </c>
      <c r="B437" s="377" t="s">
        <v>129</v>
      </c>
      <c r="C437" s="378" t="s">
        <v>26</v>
      </c>
      <c r="D437" s="378" t="s">
        <v>26</v>
      </c>
      <c r="E437" s="378" t="s">
        <v>26</v>
      </c>
      <c r="F437" s="378" t="s">
        <v>26</v>
      </c>
      <c r="G437" s="378" t="s">
        <v>26</v>
      </c>
      <c r="H437" s="379" t="s">
        <v>130</v>
      </c>
      <c r="I437" s="8"/>
      <c r="J437" s="380"/>
      <c r="K437" s="380"/>
      <c r="L437" s="380"/>
      <c r="M437" s="380"/>
      <c r="N437" s="380"/>
    </row>
    <row r="438" spans="1:14" s="98" customFormat="1" ht="15.75">
      <c r="A438" s="376" t="s">
        <v>735</v>
      </c>
      <c r="B438" s="377" t="s">
        <v>131</v>
      </c>
      <c r="C438" s="378" t="s">
        <v>26</v>
      </c>
      <c r="D438" s="378" t="s">
        <v>26</v>
      </c>
      <c r="E438" s="378" t="s">
        <v>26</v>
      </c>
      <c r="F438" s="378" t="s">
        <v>26</v>
      </c>
      <c r="G438" s="378" t="s">
        <v>26</v>
      </c>
      <c r="H438" s="379" t="s">
        <v>130</v>
      </c>
      <c r="I438" s="8"/>
      <c r="J438" s="380"/>
      <c r="K438" s="380"/>
      <c r="L438" s="380"/>
      <c r="M438" s="380"/>
      <c r="N438" s="380"/>
    </row>
    <row r="439" spans="1:14" s="98" customFormat="1" ht="31.5">
      <c r="A439" s="376" t="s">
        <v>737</v>
      </c>
      <c r="B439" s="381" t="s">
        <v>132</v>
      </c>
      <c r="C439" s="566" t="s">
        <v>82</v>
      </c>
      <c r="D439" s="566" t="s">
        <v>83</v>
      </c>
      <c r="E439" s="378" t="s">
        <v>26</v>
      </c>
      <c r="F439" s="378" t="s">
        <v>26</v>
      </c>
      <c r="G439" s="378" t="s">
        <v>26</v>
      </c>
      <c r="H439" s="379" t="s">
        <v>130</v>
      </c>
      <c r="I439" s="8"/>
      <c r="J439" s="380"/>
      <c r="K439" s="380"/>
      <c r="L439" s="380"/>
      <c r="M439" s="380"/>
      <c r="N439" s="380"/>
    </row>
    <row r="440" spans="1:14" s="98" customFormat="1" ht="47.25">
      <c r="A440" s="376" t="s">
        <v>739</v>
      </c>
      <c r="B440" s="381" t="s">
        <v>133</v>
      </c>
      <c r="C440" s="566" t="s">
        <v>84</v>
      </c>
      <c r="D440" s="566" t="s">
        <v>85</v>
      </c>
      <c r="E440" s="378" t="s">
        <v>26</v>
      </c>
      <c r="F440" s="378" t="s">
        <v>26</v>
      </c>
      <c r="G440" s="378" t="s">
        <v>26</v>
      </c>
      <c r="H440" s="379" t="s">
        <v>130</v>
      </c>
      <c r="I440" s="8"/>
      <c r="J440" s="380"/>
      <c r="K440" s="380"/>
      <c r="L440" s="380"/>
      <c r="M440" s="380"/>
      <c r="N440" s="380"/>
    </row>
    <row r="441" spans="1:14" s="98" customFormat="1" ht="15.75">
      <c r="A441" s="376" t="s">
        <v>852</v>
      </c>
      <c r="B441" s="382" t="s">
        <v>134</v>
      </c>
      <c r="C441" s="566" t="s">
        <v>86</v>
      </c>
      <c r="D441" s="566" t="s">
        <v>87</v>
      </c>
      <c r="E441" s="378" t="s">
        <v>26</v>
      </c>
      <c r="F441" s="378" t="s">
        <v>26</v>
      </c>
      <c r="G441" s="378" t="s">
        <v>26</v>
      </c>
      <c r="H441" s="379" t="s">
        <v>130</v>
      </c>
      <c r="I441" s="8"/>
      <c r="J441" s="380"/>
      <c r="K441" s="380"/>
      <c r="L441" s="380"/>
      <c r="M441" s="380"/>
      <c r="N441" s="380"/>
    </row>
    <row r="442" spans="1:14" s="98" customFormat="1" ht="15.75">
      <c r="A442" s="376" t="s">
        <v>853</v>
      </c>
      <c r="B442" s="382" t="s">
        <v>135</v>
      </c>
      <c r="C442" s="566" t="s">
        <v>82</v>
      </c>
      <c r="D442" s="566" t="s">
        <v>174</v>
      </c>
      <c r="E442" s="378" t="s">
        <v>26</v>
      </c>
      <c r="F442" s="378" t="s">
        <v>26</v>
      </c>
      <c r="G442" s="378" t="s">
        <v>26</v>
      </c>
      <c r="H442" s="379" t="s">
        <v>130</v>
      </c>
      <c r="I442" s="8"/>
      <c r="J442" s="380"/>
      <c r="K442" s="380"/>
      <c r="L442" s="380"/>
      <c r="M442" s="380"/>
      <c r="N442" s="380"/>
    </row>
    <row r="443" spans="1:14" s="98" customFormat="1" ht="18.75" customHeight="1">
      <c r="A443" s="376">
        <v>2</v>
      </c>
      <c r="B443" s="579" t="s">
        <v>136</v>
      </c>
      <c r="C443" s="579"/>
      <c r="D443" s="579"/>
      <c r="E443" s="579"/>
      <c r="F443" s="579"/>
      <c r="G443" s="579"/>
      <c r="H443" s="579"/>
      <c r="I443" s="8"/>
      <c r="J443" s="380"/>
      <c r="K443" s="380"/>
      <c r="L443" s="380"/>
      <c r="M443" s="380"/>
      <c r="N443" s="380"/>
    </row>
    <row r="444" spans="1:14" s="98" customFormat="1" ht="31.5">
      <c r="A444" s="376" t="s">
        <v>743</v>
      </c>
      <c r="B444" s="381" t="s">
        <v>137</v>
      </c>
      <c r="C444" s="378" t="s">
        <v>138</v>
      </c>
      <c r="D444" s="378" t="s">
        <v>139</v>
      </c>
      <c r="E444" s="378" t="s">
        <v>26</v>
      </c>
      <c r="F444" s="378" t="s">
        <v>26</v>
      </c>
      <c r="G444" s="383">
        <v>0</v>
      </c>
      <c r="H444" s="379"/>
      <c r="I444" s="380"/>
      <c r="J444" s="380"/>
      <c r="K444" s="380"/>
      <c r="L444" s="380"/>
      <c r="M444" s="380"/>
      <c r="N444" s="380"/>
    </row>
    <row r="445" spans="1:9" ht="47.25">
      <c r="A445" s="376" t="s">
        <v>746</v>
      </c>
      <c r="B445" s="381" t="s">
        <v>140</v>
      </c>
      <c r="C445" s="378" t="s">
        <v>26</v>
      </c>
      <c r="D445" s="378" t="s">
        <v>26</v>
      </c>
      <c r="E445" s="378" t="s">
        <v>26</v>
      </c>
      <c r="F445" s="378" t="s">
        <v>26</v>
      </c>
      <c r="G445" s="378" t="s">
        <v>26</v>
      </c>
      <c r="H445" s="379" t="s">
        <v>130</v>
      </c>
      <c r="I445" s="380"/>
    </row>
    <row r="446" spans="1:9" ht="31.5">
      <c r="A446" s="376" t="s">
        <v>141</v>
      </c>
      <c r="B446" s="381" t="s">
        <v>142</v>
      </c>
      <c r="C446" s="378" t="s">
        <v>26</v>
      </c>
      <c r="D446" s="378" t="s">
        <v>26</v>
      </c>
      <c r="E446" s="378" t="s">
        <v>26</v>
      </c>
      <c r="F446" s="378" t="s">
        <v>26</v>
      </c>
      <c r="G446" s="378" t="s">
        <v>26</v>
      </c>
      <c r="H446" s="379" t="s">
        <v>130</v>
      </c>
      <c r="I446" s="380"/>
    </row>
    <row r="447" spans="1:9" ht="18.75" customHeight="1">
      <c r="A447" s="376">
        <v>3</v>
      </c>
      <c r="B447" s="579" t="s">
        <v>143</v>
      </c>
      <c r="C447" s="579"/>
      <c r="D447" s="579"/>
      <c r="E447" s="579"/>
      <c r="F447" s="579"/>
      <c r="G447" s="579"/>
      <c r="H447" s="579"/>
      <c r="I447" s="380"/>
    </row>
    <row r="448" spans="1:9" ht="31.5">
      <c r="A448" s="376" t="s">
        <v>756</v>
      </c>
      <c r="B448" s="382" t="s">
        <v>144</v>
      </c>
      <c r="C448" s="378" t="s">
        <v>26</v>
      </c>
      <c r="D448" s="378" t="s">
        <v>26</v>
      </c>
      <c r="E448" s="378" t="s">
        <v>26</v>
      </c>
      <c r="F448" s="378" t="s">
        <v>26</v>
      </c>
      <c r="G448" s="378" t="s">
        <v>26</v>
      </c>
      <c r="H448" s="379" t="s">
        <v>130</v>
      </c>
      <c r="I448" s="380"/>
    </row>
    <row r="449" spans="1:9" ht="15.75">
      <c r="A449" s="376" t="s">
        <v>757</v>
      </c>
      <c r="B449" s="382" t="s">
        <v>145</v>
      </c>
      <c r="C449" s="378" t="s">
        <v>138</v>
      </c>
      <c r="D449" s="378" t="s">
        <v>146</v>
      </c>
      <c r="E449" s="378" t="s">
        <v>26</v>
      </c>
      <c r="F449" s="378" t="s">
        <v>26</v>
      </c>
      <c r="G449" s="383">
        <v>0</v>
      </c>
      <c r="H449" s="379"/>
      <c r="I449" s="380"/>
    </row>
    <row r="450" spans="1:9" ht="15.75">
      <c r="A450" s="376" t="s">
        <v>147</v>
      </c>
      <c r="B450" s="382" t="s">
        <v>148</v>
      </c>
      <c r="C450" s="378" t="s">
        <v>149</v>
      </c>
      <c r="D450" s="378" t="s">
        <v>150</v>
      </c>
      <c r="E450" s="378" t="s">
        <v>26</v>
      </c>
      <c r="F450" s="378" t="s">
        <v>26</v>
      </c>
      <c r="G450" s="383">
        <v>0</v>
      </c>
      <c r="H450" s="379"/>
      <c r="I450" s="380"/>
    </row>
    <row r="451" spans="1:9" ht="15.75">
      <c r="A451" s="376" t="s">
        <v>151</v>
      </c>
      <c r="B451" s="382" t="s">
        <v>152</v>
      </c>
      <c r="C451" s="378" t="s">
        <v>153</v>
      </c>
      <c r="D451" s="378" t="s">
        <v>154</v>
      </c>
      <c r="E451" s="378" t="s">
        <v>26</v>
      </c>
      <c r="F451" s="378" t="s">
        <v>26</v>
      </c>
      <c r="G451" s="383">
        <v>0</v>
      </c>
      <c r="H451" s="379"/>
      <c r="I451" s="380"/>
    </row>
    <row r="452" spans="1:9" ht="15.75">
      <c r="A452" s="376" t="s">
        <v>155</v>
      </c>
      <c r="B452" s="382" t="s">
        <v>156</v>
      </c>
      <c r="C452" s="378" t="s">
        <v>157</v>
      </c>
      <c r="D452" s="378" t="s">
        <v>158</v>
      </c>
      <c r="E452" s="378" t="s">
        <v>26</v>
      </c>
      <c r="F452" s="378" t="s">
        <v>26</v>
      </c>
      <c r="G452" s="383">
        <v>0</v>
      </c>
      <c r="H452" s="379"/>
      <c r="I452" s="380"/>
    </row>
    <row r="453" spans="1:8" ht="18.75" customHeight="1">
      <c r="A453" s="376">
        <v>4</v>
      </c>
      <c r="B453" s="579" t="s">
        <v>159</v>
      </c>
      <c r="C453" s="579"/>
      <c r="D453" s="579"/>
      <c r="E453" s="579"/>
      <c r="F453" s="579"/>
      <c r="G453" s="579"/>
      <c r="H453" s="579"/>
    </row>
    <row r="454" spans="1:8" ht="31.5">
      <c r="A454" s="376" t="s">
        <v>160</v>
      </c>
      <c r="B454" s="381" t="s">
        <v>161</v>
      </c>
      <c r="C454" s="378" t="s">
        <v>26</v>
      </c>
      <c r="D454" s="378" t="s">
        <v>26</v>
      </c>
      <c r="E454" s="378" t="s">
        <v>26</v>
      </c>
      <c r="F454" s="378" t="s">
        <v>26</v>
      </c>
      <c r="G454" s="378" t="s">
        <v>26</v>
      </c>
      <c r="H454" s="379" t="s">
        <v>130</v>
      </c>
    </row>
    <row r="455" spans="1:8" ht="47.25">
      <c r="A455" s="376" t="s">
        <v>162</v>
      </c>
      <c r="B455" s="381" t="s">
        <v>163</v>
      </c>
      <c r="C455" s="378" t="s">
        <v>26</v>
      </c>
      <c r="D455" s="378" t="s">
        <v>26</v>
      </c>
      <c r="E455" s="378" t="s">
        <v>26</v>
      </c>
      <c r="F455" s="378" t="s">
        <v>26</v>
      </c>
      <c r="G455" s="378" t="s">
        <v>26</v>
      </c>
      <c r="H455" s="379" t="s">
        <v>130</v>
      </c>
    </row>
    <row r="456" spans="1:8" ht="31.5">
      <c r="A456" s="376" t="s">
        <v>164</v>
      </c>
      <c r="B456" s="382" t="s">
        <v>165</v>
      </c>
      <c r="C456" s="378" t="s">
        <v>26</v>
      </c>
      <c r="D456" s="378" t="s">
        <v>26</v>
      </c>
      <c r="E456" s="378" t="s">
        <v>26</v>
      </c>
      <c r="F456" s="378" t="s">
        <v>26</v>
      </c>
      <c r="G456" s="378" t="s">
        <v>26</v>
      </c>
      <c r="H456" s="379" t="s">
        <v>130</v>
      </c>
    </row>
    <row r="457" spans="1:8" ht="31.5">
      <c r="A457" s="384" t="s">
        <v>166</v>
      </c>
      <c r="B457" s="385" t="s">
        <v>167</v>
      </c>
      <c r="C457" s="386" t="s">
        <v>26</v>
      </c>
      <c r="D457" s="386" t="s">
        <v>26</v>
      </c>
      <c r="E457" s="386" t="s">
        <v>26</v>
      </c>
      <c r="F457" s="386" t="s">
        <v>26</v>
      </c>
      <c r="G457" s="386" t="s">
        <v>26</v>
      </c>
      <c r="H457" s="387" t="s">
        <v>130</v>
      </c>
    </row>
    <row r="458" spans="1:8" ht="15.75">
      <c r="A458" s="388"/>
      <c r="B458" s="389"/>
      <c r="C458" s="390"/>
      <c r="D458" s="390"/>
      <c r="E458" s="390"/>
      <c r="F458" s="390"/>
      <c r="G458" s="390"/>
      <c r="H458" s="98"/>
    </row>
    <row r="459" spans="1:8" ht="18.75" customHeight="1">
      <c r="A459" s="580" t="s">
        <v>168</v>
      </c>
      <c r="B459" s="580"/>
      <c r="C459" s="580"/>
      <c r="D459" s="580"/>
      <c r="E459" s="580"/>
      <c r="F459" s="580"/>
      <c r="G459" s="580"/>
      <c r="H459" s="580"/>
    </row>
    <row r="462" ht="15.75">
      <c r="H462" s="6" t="s">
        <v>113</v>
      </c>
    </row>
    <row r="463" ht="15.75">
      <c r="H463" s="6" t="s">
        <v>114</v>
      </c>
    </row>
    <row r="464" ht="15.75">
      <c r="H464" s="6" t="s">
        <v>115</v>
      </c>
    </row>
    <row r="465" ht="15.75">
      <c r="H465" s="6"/>
    </row>
    <row r="466" spans="1:8" ht="18.75" customHeight="1">
      <c r="A466" s="622" t="s">
        <v>116</v>
      </c>
      <c r="B466" s="622"/>
      <c r="C466" s="622"/>
      <c r="D466" s="622"/>
      <c r="E466" s="622"/>
      <c r="F466" s="622"/>
      <c r="G466" s="622"/>
      <c r="H466" s="622"/>
    </row>
    <row r="467" spans="1:8" ht="18.75" customHeight="1">
      <c r="A467" s="622" t="s">
        <v>117</v>
      </c>
      <c r="B467" s="622"/>
      <c r="C467" s="622"/>
      <c r="D467" s="622"/>
      <c r="E467" s="622"/>
      <c r="F467" s="622"/>
      <c r="G467" s="622"/>
      <c r="H467" s="622"/>
    </row>
    <row r="468" ht="15.75">
      <c r="H468" s="6" t="s">
        <v>562</v>
      </c>
    </row>
    <row r="469" ht="15.75">
      <c r="H469" s="6" t="s">
        <v>769</v>
      </c>
    </row>
    <row r="470" ht="15.75">
      <c r="H470" s="6" t="s">
        <v>770</v>
      </c>
    </row>
    <row r="471" ht="15.75">
      <c r="H471" s="361" t="str">
        <f>H11</f>
        <v>                         Добровольский К.А.</v>
      </c>
    </row>
    <row r="472" ht="15.75">
      <c r="H472" s="6" t="s">
        <v>772</v>
      </c>
    </row>
    <row r="473" ht="15.75">
      <c r="H473" s="6" t="s">
        <v>567</v>
      </c>
    </row>
    <row r="474" ht="15.75">
      <c r="A474" s="362"/>
    </row>
    <row r="475" spans="1:3" ht="15.75">
      <c r="A475" s="3" t="s">
        <v>197</v>
      </c>
      <c r="C475" s="8"/>
    </row>
    <row r="476" spans="1:8" ht="18.75" customHeight="1">
      <c r="A476" s="623" t="s">
        <v>120</v>
      </c>
      <c r="B476" s="623"/>
      <c r="C476" s="623"/>
      <c r="D476" s="623"/>
      <c r="E476" s="623"/>
      <c r="F476" s="623"/>
      <c r="G476" s="623"/>
      <c r="H476" s="623"/>
    </row>
    <row r="477" spans="1:8" ht="15.75">
      <c r="A477" s="364"/>
      <c r="B477" s="364"/>
      <c r="C477" s="366"/>
      <c r="D477" s="366"/>
      <c r="E477" s="366"/>
      <c r="F477" s="366"/>
      <c r="G477" s="366"/>
      <c r="H477" s="366"/>
    </row>
    <row r="478" spans="1:8" ht="16.5" customHeight="1">
      <c r="A478" s="581" t="s">
        <v>121</v>
      </c>
      <c r="B478" s="559" t="s">
        <v>122</v>
      </c>
      <c r="C478" s="560" t="s">
        <v>123</v>
      </c>
      <c r="D478" s="560"/>
      <c r="E478" s="560"/>
      <c r="F478" s="560"/>
      <c r="G478" s="561" t="s">
        <v>124</v>
      </c>
      <c r="H478" s="581" t="s">
        <v>125</v>
      </c>
    </row>
    <row r="479" spans="1:8" ht="15.75">
      <c r="A479" s="581"/>
      <c r="B479" s="559"/>
      <c r="C479" s="560"/>
      <c r="D479" s="560"/>
      <c r="E479" s="560"/>
      <c r="F479" s="560"/>
      <c r="G479" s="561"/>
      <c r="H479" s="581"/>
    </row>
    <row r="480" spans="1:8" ht="31.5">
      <c r="A480" s="581"/>
      <c r="B480" s="559"/>
      <c r="C480" s="369" t="s">
        <v>126</v>
      </c>
      <c r="D480" s="369" t="s">
        <v>127</v>
      </c>
      <c r="E480" s="370" t="s">
        <v>126</v>
      </c>
      <c r="F480" s="371" t="s">
        <v>127</v>
      </c>
      <c r="G480" s="561"/>
      <c r="H480" s="581"/>
    </row>
    <row r="481" spans="1:8" ht="15.75">
      <c r="A481" s="367">
        <v>1</v>
      </c>
      <c r="B481" s="367">
        <v>2</v>
      </c>
      <c r="C481" s="372">
        <v>3</v>
      </c>
      <c r="D481" s="372">
        <v>4</v>
      </c>
      <c r="E481" s="373"/>
      <c r="F481" s="374"/>
      <c r="G481" s="368">
        <v>5</v>
      </c>
      <c r="H481" s="367">
        <v>6</v>
      </c>
    </row>
    <row r="482" spans="1:8" ht="18.75" customHeight="1">
      <c r="A482" s="375">
        <v>1</v>
      </c>
      <c r="B482" s="582" t="s">
        <v>128</v>
      </c>
      <c r="C482" s="582"/>
      <c r="D482" s="582"/>
      <c r="E482" s="582"/>
      <c r="F482" s="582"/>
      <c r="G482" s="582"/>
      <c r="H482" s="582"/>
    </row>
    <row r="483" spans="1:8" ht="15.75">
      <c r="A483" s="376" t="s">
        <v>594</v>
      </c>
      <c r="B483" s="377" t="s">
        <v>129</v>
      </c>
      <c r="C483" s="378" t="s">
        <v>26</v>
      </c>
      <c r="D483" s="378" t="s">
        <v>26</v>
      </c>
      <c r="E483" s="378" t="s">
        <v>26</v>
      </c>
      <c r="F483" s="378" t="s">
        <v>26</v>
      </c>
      <c r="G483" s="378" t="s">
        <v>26</v>
      </c>
      <c r="H483" s="379" t="s">
        <v>130</v>
      </c>
    </row>
    <row r="484" spans="1:8" ht="15.75">
      <c r="A484" s="376" t="s">
        <v>735</v>
      </c>
      <c r="B484" s="377" t="s">
        <v>131</v>
      </c>
      <c r="C484" s="378" t="s">
        <v>26</v>
      </c>
      <c r="D484" s="378" t="s">
        <v>26</v>
      </c>
      <c r="E484" s="378" t="s">
        <v>26</v>
      </c>
      <c r="F484" s="378" t="s">
        <v>26</v>
      </c>
      <c r="G484" s="378" t="s">
        <v>26</v>
      </c>
      <c r="H484" s="379" t="s">
        <v>130</v>
      </c>
    </row>
    <row r="485" spans="1:14" s="98" customFormat="1" ht="31.5">
      <c r="A485" s="376" t="s">
        <v>737</v>
      </c>
      <c r="B485" s="381" t="s">
        <v>132</v>
      </c>
      <c r="C485" s="378" t="s">
        <v>26</v>
      </c>
      <c r="D485" s="378" t="s">
        <v>26</v>
      </c>
      <c r="E485" s="378" t="s">
        <v>26</v>
      </c>
      <c r="F485" s="378" t="s">
        <v>26</v>
      </c>
      <c r="G485" s="378" t="s">
        <v>26</v>
      </c>
      <c r="H485" s="379" t="s">
        <v>130</v>
      </c>
      <c r="I485" s="8"/>
      <c r="J485" s="380"/>
      <c r="K485" s="380"/>
      <c r="L485" s="380"/>
      <c r="M485" s="380"/>
      <c r="N485" s="380"/>
    </row>
    <row r="486" spans="1:14" s="98" customFormat="1" ht="47.25">
      <c r="A486" s="376" t="s">
        <v>739</v>
      </c>
      <c r="B486" s="381" t="s">
        <v>133</v>
      </c>
      <c r="C486" s="378" t="s">
        <v>26</v>
      </c>
      <c r="D486" s="378" t="s">
        <v>26</v>
      </c>
      <c r="E486" s="378" t="s">
        <v>26</v>
      </c>
      <c r="F486" s="378" t="s">
        <v>26</v>
      </c>
      <c r="G486" s="378" t="s">
        <v>26</v>
      </c>
      <c r="H486" s="379" t="s">
        <v>130</v>
      </c>
      <c r="I486" s="8"/>
      <c r="J486" s="380"/>
      <c r="K486" s="380"/>
      <c r="L486" s="380"/>
      <c r="M486" s="380"/>
      <c r="N486" s="380"/>
    </row>
    <row r="487" spans="1:14" s="98" customFormat="1" ht="15.75">
      <c r="A487" s="376" t="s">
        <v>852</v>
      </c>
      <c r="B487" s="382" t="s">
        <v>134</v>
      </c>
      <c r="C487" s="378" t="s">
        <v>26</v>
      </c>
      <c r="D487" s="378" t="s">
        <v>26</v>
      </c>
      <c r="E487" s="378" t="s">
        <v>26</v>
      </c>
      <c r="F487" s="378" t="s">
        <v>26</v>
      </c>
      <c r="G487" s="378" t="s">
        <v>26</v>
      </c>
      <c r="H487" s="379" t="s">
        <v>130</v>
      </c>
      <c r="I487" s="8"/>
      <c r="J487" s="380"/>
      <c r="K487" s="380"/>
      <c r="L487" s="380"/>
      <c r="M487" s="380"/>
      <c r="N487" s="380"/>
    </row>
    <row r="488" spans="1:14" s="98" customFormat="1" ht="15.75">
      <c r="A488" s="376" t="s">
        <v>853</v>
      </c>
      <c r="B488" s="382" t="s">
        <v>135</v>
      </c>
      <c r="C488" s="378" t="s">
        <v>26</v>
      </c>
      <c r="D488" s="378" t="s">
        <v>26</v>
      </c>
      <c r="E488" s="378" t="s">
        <v>26</v>
      </c>
      <c r="F488" s="378" t="s">
        <v>26</v>
      </c>
      <c r="G488" s="378" t="s">
        <v>26</v>
      </c>
      <c r="H488" s="379" t="s">
        <v>130</v>
      </c>
      <c r="I488" s="8"/>
      <c r="J488" s="380"/>
      <c r="K488" s="380"/>
      <c r="L488" s="380"/>
      <c r="M488" s="380"/>
      <c r="N488" s="380"/>
    </row>
    <row r="489" spans="1:14" s="98" customFormat="1" ht="18.75" customHeight="1">
      <c r="A489" s="376">
        <v>2</v>
      </c>
      <c r="B489" s="579" t="s">
        <v>136</v>
      </c>
      <c r="C489" s="579"/>
      <c r="D489" s="579"/>
      <c r="E489" s="579"/>
      <c r="F489" s="579"/>
      <c r="G489" s="579"/>
      <c r="H489" s="579"/>
      <c r="I489" s="8"/>
      <c r="J489" s="380"/>
      <c r="K489" s="380"/>
      <c r="L489" s="380"/>
      <c r="M489" s="380"/>
      <c r="N489" s="380"/>
    </row>
    <row r="490" spans="1:14" s="98" customFormat="1" ht="31.5">
      <c r="A490" s="376" t="s">
        <v>743</v>
      </c>
      <c r="B490" s="381" t="s">
        <v>137</v>
      </c>
      <c r="C490" s="378" t="s">
        <v>149</v>
      </c>
      <c r="D490" s="378" t="s">
        <v>150</v>
      </c>
      <c r="E490" s="378" t="s">
        <v>26</v>
      </c>
      <c r="F490" s="378" t="s">
        <v>26</v>
      </c>
      <c r="G490" s="383">
        <v>0</v>
      </c>
      <c r="H490" s="379"/>
      <c r="I490" s="380"/>
      <c r="J490" s="380"/>
      <c r="K490" s="380"/>
      <c r="L490" s="380"/>
      <c r="M490" s="380"/>
      <c r="N490" s="380"/>
    </row>
    <row r="491" spans="1:14" s="98" customFormat="1" ht="47.25">
      <c r="A491" s="376" t="s">
        <v>746</v>
      </c>
      <c r="B491" s="381" t="s">
        <v>140</v>
      </c>
      <c r="C491" s="378" t="s">
        <v>26</v>
      </c>
      <c r="D491" s="378" t="s">
        <v>26</v>
      </c>
      <c r="E491" s="378" t="s">
        <v>26</v>
      </c>
      <c r="F491" s="378" t="s">
        <v>26</v>
      </c>
      <c r="G491" s="378" t="s">
        <v>26</v>
      </c>
      <c r="H491" s="379" t="s">
        <v>130</v>
      </c>
      <c r="I491" s="380"/>
      <c r="J491" s="380"/>
      <c r="K491" s="380"/>
      <c r="L491" s="380"/>
      <c r="M491" s="380"/>
      <c r="N491" s="380"/>
    </row>
    <row r="492" spans="1:14" s="98" customFormat="1" ht="31.5">
      <c r="A492" s="376" t="s">
        <v>141</v>
      </c>
      <c r="B492" s="381" t="s">
        <v>142</v>
      </c>
      <c r="C492" s="378" t="s">
        <v>26</v>
      </c>
      <c r="D492" s="378" t="s">
        <v>26</v>
      </c>
      <c r="E492" s="378" t="s">
        <v>26</v>
      </c>
      <c r="F492" s="378" t="s">
        <v>26</v>
      </c>
      <c r="G492" s="378" t="s">
        <v>26</v>
      </c>
      <c r="H492" s="379" t="s">
        <v>130</v>
      </c>
      <c r="I492" s="380"/>
      <c r="J492" s="380"/>
      <c r="K492" s="380"/>
      <c r="L492" s="380"/>
      <c r="M492" s="380"/>
      <c r="N492" s="380"/>
    </row>
    <row r="493" spans="1:14" s="98" customFormat="1" ht="18.75" customHeight="1">
      <c r="A493" s="376">
        <v>3</v>
      </c>
      <c r="B493" s="579" t="s">
        <v>143</v>
      </c>
      <c r="C493" s="579"/>
      <c r="D493" s="579"/>
      <c r="E493" s="579"/>
      <c r="F493" s="579"/>
      <c r="G493" s="579"/>
      <c r="H493" s="579"/>
      <c r="I493" s="380"/>
      <c r="J493" s="380"/>
      <c r="K493" s="380"/>
      <c r="L493" s="380"/>
      <c r="M493" s="380"/>
      <c r="N493" s="380"/>
    </row>
    <row r="494" spans="1:9" ht="31.5">
      <c r="A494" s="376" t="s">
        <v>756</v>
      </c>
      <c r="B494" s="382" t="s">
        <v>144</v>
      </c>
      <c r="C494" s="378" t="s">
        <v>26</v>
      </c>
      <c r="D494" s="378" t="s">
        <v>26</v>
      </c>
      <c r="E494" s="378" t="s">
        <v>26</v>
      </c>
      <c r="F494" s="378" t="s">
        <v>26</v>
      </c>
      <c r="G494" s="378" t="s">
        <v>26</v>
      </c>
      <c r="H494" s="379" t="s">
        <v>130</v>
      </c>
      <c r="I494" s="380"/>
    </row>
    <row r="495" spans="1:9" ht="15.75">
      <c r="A495" s="376" t="s">
        <v>757</v>
      </c>
      <c r="B495" s="382" t="s">
        <v>145</v>
      </c>
      <c r="C495" s="378" t="s">
        <v>186</v>
      </c>
      <c r="D495" s="378" t="s">
        <v>198</v>
      </c>
      <c r="E495" s="378" t="s">
        <v>26</v>
      </c>
      <c r="F495" s="378" t="s">
        <v>26</v>
      </c>
      <c r="G495" s="383">
        <v>0</v>
      </c>
      <c r="H495" s="379"/>
      <c r="I495" s="380"/>
    </row>
    <row r="496" spans="1:9" ht="15.75">
      <c r="A496" s="376" t="s">
        <v>147</v>
      </c>
      <c r="B496" s="382" t="s">
        <v>148</v>
      </c>
      <c r="C496" s="378" t="s">
        <v>199</v>
      </c>
      <c r="D496" s="378" t="s">
        <v>198</v>
      </c>
      <c r="E496" s="378" t="s">
        <v>26</v>
      </c>
      <c r="F496" s="378" t="s">
        <v>26</v>
      </c>
      <c r="G496" s="383">
        <v>0</v>
      </c>
      <c r="H496" s="379"/>
      <c r="I496" s="380"/>
    </row>
    <row r="497" spans="1:9" ht="15.75">
      <c r="A497" s="376" t="s">
        <v>151</v>
      </c>
      <c r="B497" s="382" t="s">
        <v>152</v>
      </c>
      <c r="C497" s="378" t="s">
        <v>199</v>
      </c>
      <c r="D497" s="378" t="s">
        <v>200</v>
      </c>
      <c r="E497" s="378" t="s">
        <v>26</v>
      </c>
      <c r="F497" s="378" t="s">
        <v>26</v>
      </c>
      <c r="G497" s="383">
        <v>0</v>
      </c>
      <c r="H497" s="379"/>
      <c r="I497" s="380"/>
    </row>
    <row r="498" spans="1:9" ht="15.75">
      <c r="A498" s="376" t="s">
        <v>155</v>
      </c>
      <c r="B498" s="382" t="s">
        <v>156</v>
      </c>
      <c r="C498" s="378" t="s">
        <v>200</v>
      </c>
      <c r="D498" s="378" t="s">
        <v>189</v>
      </c>
      <c r="E498" s="378" t="s">
        <v>26</v>
      </c>
      <c r="F498" s="378" t="s">
        <v>26</v>
      </c>
      <c r="G498" s="383">
        <v>0</v>
      </c>
      <c r="H498" s="379"/>
      <c r="I498" s="380"/>
    </row>
    <row r="499" spans="1:8" ht="18.75" customHeight="1">
      <c r="A499" s="376">
        <v>4</v>
      </c>
      <c r="B499" s="579" t="s">
        <v>159</v>
      </c>
      <c r="C499" s="579"/>
      <c r="D499" s="579"/>
      <c r="E499" s="579"/>
      <c r="F499" s="579"/>
      <c r="G499" s="579"/>
      <c r="H499" s="579"/>
    </row>
    <row r="500" spans="1:8" ht="31.5">
      <c r="A500" s="376" t="s">
        <v>160</v>
      </c>
      <c r="B500" s="381" t="s">
        <v>161</v>
      </c>
      <c r="C500" s="378" t="s">
        <v>26</v>
      </c>
      <c r="D500" s="378" t="s">
        <v>26</v>
      </c>
      <c r="E500" s="378" t="s">
        <v>26</v>
      </c>
      <c r="F500" s="378" t="s">
        <v>26</v>
      </c>
      <c r="G500" s="378" t="s">
        <v>26</v>
      </c>
      <c r="H500" s="379" t="s">
        <v>130</v>
      </c>
    </row>
    <row r="501" spans="1:8" ht="47.25">
      <c r="A501" s="376" t="s">
        <v>162</v>
      </c>
      <c r="B501" s="381" t="s">
        <v>163</v>
      </c>
      <c r="C501" s="378" t="s">
        <v>26</v>
      </c>
      <c r="D501" s="378" t="s">
        <v>26</v>
      </c>
      <c r="E501" s="378" t="s">
        <v>26</v>
      </c>
      <c r="F501" s="378" t="s">
        <v>26</v>
      </c>
      <c r="G501" s="378" t="s">
        <v>26</v>
      </c>
      <c r="H501" s="379" t="s">
        <v>130</v>
      </c>
    </row>
    <row r="502" spans="1:8" ht="31.5">
      <c r="A502" s="376" t="s">
        <v>164</v>
      </c>
      <c r="B502" s="382" t="s">
        <v>165</v>
      </c>
      <c r="C502" s="378" t="s">
        <v>26</v>
      </c>
      <c r="D502" s="378" t="s">
        <v>26</v>
      </c>
      <c r="E502" s="378" t="s">
        <v>26</v>
      </c>
      <c r="F502" s="378" t="s">
        <v>26</v>
      </c>
      <c r="G502" s="378" t="s">
        <v>26</v>
      </c>
      <c r="H502" s="379" t="s">
        <v>130</v>
      </c>
    </row>
    <row r="503" spans="1:8" ht="31.5">
      <c r="A503" s="384" t="s">
        <v>166</v>
      </c>
      <c r="B503" s="385" t="s">
        <v>167</v>
      </c>
      <c r="C503" s="386" t="s">
        <v>26</v>
      </c>
      <c r="D503" s="386" t="s">
        <v>26</v>
      </c>
      <c r="E503" s="386" t="s">
        <v>26</v>
      </c>
      <c r="F503" s="386" t="s">
        <v>26</v>
      </c>
      <c r="G503" s="386" t="s">
        <v>26</v>
      </c>
      <c r="H503" s="387" t="s">
        <v>130</v>
      </c>
    </row>
    <row r="504" spans="1:8" ht="15.75">
      <c r="A504" s="388"/>
      <c r="B504" s="389"/>
      <c r="C504" s="390"/>
      <c r="D504" s="390"/>
      <c r="E504" s="390"/>
      <c r="F504" s="390"/>
      <c r="G504" s="390"/>
      <c r="H504" s="98"/>
    </row>
    <row r="505" spans="1:8" ht="18.75" customHeight="1">
      <c r="A505" s="580" t="s">
        <v>168</v>
      </c>
      <c r="B505" s="580"/>
      <c r="C505" s="580"/>
      <c r="D505" s="580"/>
      <c r="E505" s="580"/>
      <c r="F505" s="580"/>
      <c r="G505" s="580"/>
      <c r="H505" s="580"/>
    </row>
    <row r="508" ht="15.75">
      <c r="H508" s="6" t="s">
        <v>113</v>
      </c>
    </row>
    <row r="509" ht="15.75">
      <c r="H509" s="6" t="s">
        <v>114</v>
      </c>
    </row>
    <row r="510" ht="15.75">
      <c r="H510" s="6" t="s">
        <v>115</v>
      </c>
    </row>
    <row r="511" ht="15.75">
      <c r="H511" s="6"/>
    </row>
    <row r="512" spans="1:8" ht="18.75" customHeight="1">
      <c r="A512" s="622" t="s">
        <v>116</v>
      </c>
      <c r="B512" s="622"/>
      <c r="C512" s="622"/>
      <c r="D512" s="622"/>
      <c r="E512" s="622"/>
      <c r="F512" s="622"/>
      <c r="G512" s="622"/>
      <c r="H512" s="622"/>
    </row>
    <row r="513" spans="1:8" ht="18.75" customHeight="1">
      <c r="A513" s="622" t="s">
        <v>117</v>
      </c>
      <c r="B513" s="622"/>
      <c r="C513" s="622"/>
      <c r="D513" s="622"/>
      <c r="E513" s="622"/>
      <c r="F513" s="622"/>
      <c r="G513" s="622"/>
      <c r="H513" s="622"/>
    </row>
    <row r="514" ht="15.75">
      <c r="H514" s="6" t="s">
        <v>562</v>
      </c>
    </row>
    <row r="515" ht="15.75">
      <c r="H515" s="6" t="s">
        <v>769</v>
      </c>
    </row>
    <row r="516" ht="15.75">
      <c r="H516" s="6" t="s">
        <v>770</v>
      </c>
    </row>
    <row r="517" ht="15.75">
      <c r="H517" s="361" t="str">
        <f>H11</f>
        <v>                         Добровольский К.А.</v>
      </c>
    </row>
    <row r="518" ht="15.75">
      <c r="H518" s="6" t="s">
        <v>772</v>
      </c>
    </row>
    <row r="519" ht="15.75">
      <c r="H519" s="6" t="s">
        <v>567</v>
      </c>
    </row>
    <row r="520" ht="15.75">
      <c r="A520" s="362"/>
    </row>
    <row r="521" ht="15.75">
      <c r="A521" s="3" t="s">
        <v>201</v>
      </c>
    </row>
    <row r="522" spans="1:8" ht="18.75" customHeight="1">
      <c r="A522" s="623" t="s">
        <v>120</v>
      </c>
      <c r="B522" s="623"/>
      <c r="C522" s="623"/>
      <c r="D522" s="623"/>
      <c r="E522" s="623"/>
      <c r="F522" s="623"/>
      <c r="G522" s="623"/>
      <c r="H522" s="623"/>
    </row>
    <row r="523" spans="1:8" ht="15.75">
      <c r="A523" s="364"/>
      <c r="B523" s="364"/>
      <c r="C523" s="366"/>
      <c r="D523" s="366"/>
      <c r="E523" s="366"/>
      <c r="F523" s="366"/>
      <c r="G523" s="366"/>
      <c r="H523" s="366"/>
    </row>
    <row r="524" spans="1:8" ht="16.5" customHeight="1">
      <c r="A524" s="581" t="s">
        <v>121</v>
      </c>
      <c r="B524" s="559" t="s">
        <v>122</v>
      </c>
      <c r="C524" s="560" t="s">
        <v>123</v>
      </c>
      <c r="D524" s="560"/>
      <c r="E524" s="560"/>
      <c r="F524" s="560"/>
      <c r="G524" s="561" t="s">
        <v>124</v>
      </c>
      <c r="H524" s="581" t="s">
        <v>125</v>
      </c>
    </row>
    <row r="525" spans="1:8" ht="15.75">
      <c r="A525" s="581"/>
      <c r="B525" s="559"/>
      <c r="C525" s="560"/>
      <c r="D525" s="560"/>
      <c r="E525" s="560"/>
      <c r="F525" s="560"/>
      <c r="G525" s="561"/>
      <c r="H525" s="581"/>
    </row>
    <row r="526" spans="1:8" ht="31.5">
      <c r="A526" s="581"/>
      <c r="B526" s="559"/>
      <c r="C526" s="369" t="s">
        <v>126</v>
      </c>
      <c r="D526" s="369" t="s">
        <v>127</v>
      </c>
      <c r="E526" s="370" t="s">
        <v>126</v>
      </c>
      <c r="F526" s="371" t="s">
        <v>127</v>
      </c>
      <c r="G526" s="561"/>
      <c r="H526" s="581"/>
    </row>
    <row r="527" spans="1:8" ht="15.75">
      <c r="A527" s="367">
        <v>1</v>
      </c>
      <c r="B527" s="367">
        <v>2</v>
      </c>
      <c r="C527" s="372">
        <v>3</v>
      </c>
      <c r="D527" s="372">
        <v>4</v>
      </c>
      <c r="E527" s="373"/>
      <c r="F527" s="374"/>
      <c r="G527" s="368">
        <v>5</v>
      </c>
      <c r="H527" s="367">
        <v>6</v>
      </c>
    </row>
    <row r="528" spans="1:8" ht="18.75" customHeight="1">
      <c r="A528" s="375">
        <v>1</v>
      </c>
      <c r="B528" s="582" t="s">
        <v>128</v>
      </c>
      <c r="C528" s="582"/>
      <c r="D528" s="582"/>
      <c r="E528" s="582"/>
      <c r="F528" s="582"/>
      <c r="G528" s="582"/>
      <c r="H528" s="582"/>
    </row>
    <row r="529" spans="1:8" ht="15.75">
      <c r="A529" s="376" t="s">
        <v>594</v>
      </c>
      <c r="B529" s="377" t="s">
        <v>129</v>
      </c>
      <c r="C529" s="378" t="s">
        <v>26</v>
      </c>
      <c r="D529" s="378" t="s">
        <v>26</v>
      </c>
      <c r="E529" s="378" t="s">
        <v>26</v>
      </c>
      <c r="F529" s="378" t="s">
        <v>26</v>
      </c>
      <c r="G529" s="378" t="s">
        <v>26</v>
      </c>
      <c r="H529" s="379" t="s">
        <v>130</v>
      </c>
    </row>
    <row r="530" spans="1:8" ht="15.75">
      <c r="A530" s="376" t="s">
        <v>735</v>
      </c>
      <c r="B530" s="377" t="s">
        <v>131</v>
      </c>
      <c r="C530" s="378" t="s">
        <v>26</v>
      </c>
      <c r="D530" s="378" t="s">
        <v>26</v>
      </c>
      <c r="E530" s="378" t="s">
        <v>26</v>
      </c>
      <c r="F530" s="378" t="s">
        <v>26</v>
      </c>
      <c r="G530" s="378" t="s">
        <v>26</v>
      </c>
      <c r="H530" s="379" t="s">
        <v>130</v>
      </c>
    </row>
    <row r="531" spans="1:8" ht="31.5">
      <c r="A531" s="376" t="s">
        <v>737</v>
      </c>
      <c r="B531" s="381" t="s">
        <v>132</v>
      </c>
      <c r="C531" s="566" t="s">
        <v>82</v>
      </c>
      <c r="D531" s="566" t="s">
        <v>83</v>
      </c>
      <c r="E531" s="378" t="s">
        <v>26</v>
      </c>
      <c r="F531" s="378" t="s">
        <v>26</v>
      </c>
      <c r="G531" s="378" t="s">
        <v>26</v>
      </c>
      <c r="H531" s="379" t="s">
        <v>130</v>
      </c>
    </row>
    <row r="532" spans="1:8" ht="47.25">
      <c r="A532" s="376" t="s">
        <v>739</v>
      </c>
      <c r="B532" s="381" t="s">
        <v>133</v>
      </c>
      <c r="C532" s="566" t="s">
        <v>84</v>
      </c>
      <c r="D532" s="566" t="s">
        <v>85</v>
      </c>
      <c r="E532" s="378" t="s">
        <v>26</v>
      </c>
      <c r="F532" s="378" t="s">
        <v>26</v>
      </c>
      <c r="G532" s="378" t="s">
        <v>26</v>
      </c>
      <c r="H532" s="379" t="s">
        <v>130</v>
      </c>
    </row>
    <row r="533" spans="1:8" ht="15.75">
      <c r="A533" s="376" t="s">
        <v>852</v>
      </c>
      <c r="B533" s="382" t="s">
        <v>134</v>
      </c>
      <c r="C533" s="566" t="s">
        <v>86</v>
      </c>
      <c r="D533" s="566" t="s">
        <v>87</v>
      </c>
      <c r="E533" s="378" t="s">
        <v>26</v>
      </c>
      <c r="F533" s="378" t="s">
        <v>26</v>
      </c>
      <c r="G533" s="378" t="s">
        <v>26</v>
      </c>
      <c r="H533" s="379" t="s">
        <v>130</v>
      </c>
    </row>
    <row r="534" spans="1:14" s="98" customFormat="1" ht="15.75">
      <c r="A534" s="376" t="s">
        <v>853</v>
      </c>
      <c r="B534" s="382" t="s">
        <v>135</v>
      </c>
      <c r="C534" s="566" t="s">
        <v>82</v>
      </c>
      <c r="D534" s="566" t="s">
        <v>174</v>
      </c>
      <c r="E534" s="378" t="s">
        <v>26</v>
      </c>
      <c r="F534" s="378" t="s">
        <v>26</v>
      </c>
      <c r="G534" s="378" t="s">
        <v>26</v>
      </c>
      <c r="H534" s="379" t="s">
        <v>130</v>
      </c>
      <c r="I534" s="8"/>
      <c r="J534" s="380"/>
      <c r="K534" s="380"/>
      <c r="L534" s="380"/>
      <c r="M534" s="380"/>
      <c r="N534" s="380"/>
    </row>
    <row r="535" spans="1:14" s="98" customFormat="1" ht="18.75" customHeight="1">
      <c r="A535" s="376">
        <v>2</v>
      </c>
      <c r="B535" s="579" t="s">
        <v>136</v>
      </c>
      <c r="C535" s="579"/>
      <c r="D535" s="579"/>
      <c r="E535" s="579"/>
      <c r="F535" s="579"/>
      <c r="G535" s="579"/>
      <c r="H535" s="579"/>
      <c r="I535" s="8"/>
      <c r="J535" s="380"/>
      <c r="K535" s="380"/>
      <c r="L535" s="380"/>
      <c r="M535" s="380"/>
      <c r="N535" s="380"/>
    </row>
    <row r="536" spans="1:14" s="98" customFormat="1" ht="31.5">
      <c r="A536" s="376" t="s">
        <v>743</v>
      </c>
      <c r="B536" s="381" t="s">
        <v>137</v>
      </c>
      <c r="C536" s="378" t="s">
        <v>138</v>
      </c>
      <c r="D536" s="378" t="s">
        <v>183</v>
      </c>
      <c r="E536" s="378" t="s">
        <v>26</v>
      </c>
      <c r="F536" s="378" t="s">
        <v>26</v>
      </c>
      <c r="G536" s="383">
        <v>0</v>
      </c>
      <c r="H536" s="379"/>
      <c r="I536" s="8"/>
      <c r="J536" s="380"/>
      <c r="K536" s="380"/>
      <c r="L536" s="380"/>
      <c r="M536" s="380"/>
      <c r="N536" s="380"/>
    </row>
    <row r="537" spans="1:14" s="98" customFormat="1" ht="47.25">
      <c r="A537" s="376" t="s">
        <v>746</v>
      </c>
      <c r="B537" s="381" t="s">
        <v>140</v>
      </c>
      <c r="C537" s="378" t="s">
        <v>26</v>
      </c>
      <c r="D537" s="378" t="s">
        <v>26</v>
      </c>
      <c r="E537" s="378" t="s">
        <v>26</v>
      </c>
      <c r="F537" s="378" t="s">
        <v>26</v>
      </c>
      <c r="G537" s="378" t="s">
        <v>26</v>
      </c>
      <c r="H537" s="379" t="s">
        <v>130</v>
      </c>
      <c r="I537" s="8"/>
      <c r="J537" s="380"/>
      <c r="K537" s="380"/>
      <c r="L537" s="380"/>
      <c r="M537" s="380"/>
      <c r="N537" s="380"/>
    </row>
    <row r="538" spans="1:14" s="98" customFormat="1" ht="31.5">
      <c r="A538" s="376" t="s">
        <v>141</v>
      </c>
      <c r="B538" s="381" t="s">
        <v>142</v>
      </c>
      <c r="C538" s="378" t="s">
        <v>26</v>
      </c>
      <c r="D538" s="378" t="s">
        <v>26</v>
      </c>
      <c r="E538" s="378" t="s">
        <v>26</v>
      </c>
      <c r="F538" s="378" t="s">
        <v>26</v>
      </c>
      <c r="G538" s="378" t="s">
        <v>26</v>
      </c>
      <c r="H538" s="379" t="s">
        <v>130</v>
      </c>
      <c r="I538" s="8"/>
      <c r="J538" s="380"/>
      <c r="K538" s="380"/>
      <c r="L538" s="380"/>
      <c r="M538" s="380"/>
      <c r="N538" s="380"/>
    </row>
    <row r="539" spans="1:14" s="98" customFormat="1" ht="18.75" customHeight="1">
      <c r="A539" s="376">
        <v>3</v>
      </c>
      <c r="B539" s="579" t="s">
        <v>184</v>
      </c>
      <c r="C539" s="579"/>
      <c r="D539" s="579"/>
      <c r="E539" s="579"/>
      <c r="F539" s="579"/>
      <c r="G539" s="579"/>
      <c r="H539" s="579"/>
      <c r="I539" s="8"/>
      <c r="J539" s="380"/>
      <c r="K539" s="380"/>
      <c r="L539" s="380"/>
      <c r="M539" s="380"/>
      <c r="N539" s="380"/>
    </row>
    <row r="540" spans="1:14" s="98" customFormat="1" ht="31.5">
      <c r="A540" s="376" t="s">
        <v>756</v>
      </c>
      <c r="B540" s="382" t="s">
        <v>144</v>
      </c>
      <c r="C540" s="378" t="s">
        <v>26</v>
      </c>
      <c r="D540" s="378" t="s">
        <v>26</v>
      </c>
      <c r="E540" s="378" t="s">
        <v>26</v>
      </c>
      <c r="F540" s="378" t="s">
        <v>26</v>
      </c>
      <c r="G540" s="378" t="s">
        <v>26</v>
      </c>
      <c r="H540" s="379" t="s">
        <v>130</v>
      </c>
      <c r="I540" s="8"/>
      <c r="J540" s="380"/>
      <c r="K540" s="380"/>
      <c r="L540" s="380"/>
      <c r="M540" s="380"/>
      <c r="N540" s="380"/>
    </row>
    <row r="541" spans="1:14" s="98" customFormat="1" ht="15.75">
      <c r="A541" s="376" t="s">
        <v>757</v>
      </c>
      <c r="B541" s="382" t="s">
        <v>145</v>
      </c>
      <c r="C541" s="378" t="s">
        <v>191</v>
      </c>
      <c r="D541" s="378" t="s">
        <v>173</v>
      </c>
      <c r="E541" s="378" t="s">
        <v>26</v>
      </c>
      <c r="F541" s="378" t="s">
        <v>26</v>
      </c>
      <c r="G541" s="383">
        <v>0</v>
      </c>
      <c r="H541" s="379"/>
      <c r="I541" s="8"/>
      <c r="J541" s="380"/>
      <c r="K541" s="380"/>
      <c r="L541" s="380"/>
      <c r="M541" s="380"/>
      <c r="N541" s="380"/>
    </row>
    <row r="542" spans="1:14" s="98" customFormat="1" ht="15.75">
      <c r="A542" s="376" t="s">
        <v>147</v>
      </c>
      <c r="B542" s="382" t="s">
        <v>148</v>
      </c>
      <c r="C542" s="378" t="s">
        <v>186</v>
      </c>
      <c r="D542" s="378" t="s">
        <v>172</v>
      </c>
      <c r="E542" s="378" t="s">
        <v>26</v>
      </c>
      <c r="F542" s="378" t="s">
        <v>26</v>
      </c>
      <c r="G542" s="383">
        <v>0</v>
      </c>
      <c r="H542" s="379"/>
      <c r="I542" s="8"/>
      <c r="J542" s="380"/>
      <c r="K542" s="380"/>
      <c r="L542" s="380"/>
      <c r="M542" s="380"/>
      <c r="N542" s="380"/>
    </row>
    <row r="543" spans="1:8" ht="15.75">
      <c r="A543" s="376" t="s">
        <v>151</v>
      </c>
      <c r="B543" s="382" t="s">
        <v>152</v>
      </c>
      <c r="C543" s="378" t="s">
        <v>187</v>
      </c>
      <c r="D543" s="378" t="s">
        <v>188</v>
      </c>
      <c r="E543" s="378" t="s">
        <v>26</v>
      </c>
      <c r="F543" s="378" t="s">
        <v>26</v>
      </c>
      <c r="G543" s="383">
        <v>0</v>
      </c>
      <c r="H543" s="379"/>
    </row>
    <row r="544" spans="1:8" ht="15.75">
      <c r="A544" s="376" t="s">
        <v>155</v>
      </c>
      <c r="B544" s="382" t="s">
        <v>156</v>
      </c>
      <c r="C544" s="378" t="s">
        <v>189</v>
      </c>
      <c r="D544" s="378" t="s">
        <v>183</v>
      </c>
      <c r="E544" s="378" t="s">
        <v>26</v>
      </c>
      <c r="F544" s="378" t="s">
        <v>26</v>
      </c>
      <c r="G544" s="383">
        <v>0</v>
      </c>
      <c r="H544" s="379"/>
    </row>
    <row r="545" spans="1:8" ht="18.75" customHeight="1">
      <c r="A545" s="376">
        <v>4</v>
      </c>
      <c r="B545" s="579" t="s">
        <v>159</v>
      </c>
      <c r="C545" s="579"/>
      <c r="D545" s="579"/>
      <c r="E545" s="579"/>
      <c r="F545" s="579"/>
      <c r="G545" s="579"/>
      <c r="H545" s="579"/>
    </row>
    <row r="546" spans="1:8" ht="31.5">
      <c r="A546" s="376" t="s">
        <v>160</v>
      </c>
      <c r="B546" s="381" t="s">
        <v>161</v>
      </c>
      <c r="C546" s="378" t="s">
        <v>26</v>
      </c>
      <c r="D546" s="378" t="s">
        <v>26</v>
      </c>
      <c r="E546" s="378" t="s">
        <v>26</v>
      </c>
      <c r="F546" s="378" t="s">
        <v>26</v>
      </c>
      <c r="G546" s="378" t="s">
        <v>26</v>
      </c>
      <c r="H546" s="379" t="s">
        <v>130</v>
      </c>
    </row>
    <row r="547" spans="1:8" ht="47.25">
      <c r="A547" s="376" t="s">
        <v>162</v>
      </c>
      <c r="B547" s="381" t="s">
        <v>163</v>
      </c>
      <c r="C547" s="378" t="s">
        <v>26</v>
      </c>
      <c r="D547" s="378" t="s">
        <v>26</v>
      </c>
      <c r="E547" s="378" t="s">
        <v>26</v>
      </c>
      <c r="F547" s="378" t="s">
        <v>26</v>
      </c>
      <c r="G547" s="378" t="s">
        <v>26</v>
      </c>
      <c r="H547" s="379" t="s">
        <v>130</v>
      </c>
    </row>
    <row r="548" spans="1:8" ht="31.5">
      <c r="A548" s="376" t="s">
        <v>164</v>
      </c>
      <c r="B548" s="382" t="s">
        <v>165</v>
      </c>
      <c r="C548" s="378" t="s">
        <v>26</v>
      </c>
      <c r="D548" s="378" t="s">
        <v>26</v>
      </c>
      <c r="E548" s="378" t="s">
        <v>26</v>
      </c>
      <c r="F548" s="378" t="s">
        <v>26</v>
      </c>
      <c r="G548" s="378" t="s">
        <v>26</v>
      </c>
      <c r="H548" s="379" t="s">
        <v>130</v>
      </c>
    </row>
    <row r="549" spans="1:8" ht="31.5">
      <c r="A549" s="384" t="s">
        <v>166</v>
      </c>
      <c r="B549" s="385" t="s">
        <v>167</v>
      </c>
      <c r="C549" s="386" t="s">
        <v>26</v>
      </c>
      <c r="D549" s="386" t="s">
        <v>26</v>
      </c>
      <c r="E549" s="386" t="s">
        <v>26</v>
      </c>
      <c r="F549" s="386" t="s">
        <v>26</v>
      </c>
      <c r="G549" s="386" t="s">
        <v>26</v>
      </c>
      <c r="H549" s="387" t="s">
        <v>130</v>
      </c>
    </row>
    <row r="550" spans="1:8" ht="15.75">
      <c r="A550" s="388"/>
      <c r="B550" s="389"/>
      <c r="C550" s="390"/>
      <c r="D550" s="390"/>
      <c r="E550" s="390"/>
      <c r="F550" s="390"/>
      <c r="G550" s="390"/>
      <c r="H550" s="98"/>
    </row>
    <row r="551" spans="1:8" ht="18.75" customHeight="1">
      <c r="A551" s="580" t="s">
        <v>168</v>
      </c>
      <c r="B551" s="580"/>
      <c r="C551" s="580"/>
      <c r="D551" s="580"/>
      <c r="E551" s="580"/>
      <c r="F551" s="580"/>
      <c r="G551" s="580"/>
      <c r="H551" s="580"/>
    </row>
    <row r="554" ht="15.75">
      <c r="H554" s="6" t="s">
        <v>113</v>
      </c>
    </row>
    <row r="555" ht="15.75">
      <c r="H555" s="6" t="s">
        <v>114</v>
      </c>
    </row>
    <row r="556" ht="15.75">
      <c r="H556" s="6" t="s">
        <v>115</v>
      </c>
    </row>
    <row r="557" ht="15.75">
      <c r="H557" s="6"/>
    </row>
    <row r="558" spans="1:8" ht="18.75" customHeight="1">
      <c r="A558" s="622" t="s">
        <v>116</v>
      </c>
      <c r="B558" s="622"/>
      <c r="C558" s="622"/>
      <c r="D558" s="622"/>
      <c r="E558" s="622"/>
      <c r="F558" s="622"/>
      <c r="G558" s="622"/>
      <c r="H558" s="622"/>
    </row>
    <row r="559" spans="1:8" ht="18.75" customHeight="1">
      <c r="A559" s="622" t="s">
        <v>117</v>
      </c>
      <c r="B559" s="622"/>
      <c r="C559" s="622"/>
      <c r="D559" s="622"/>
      <c r="E559" s="622"/>
      <c r="F559" s="622"/>
      <c r="G559" s="622"/>
      <c r="H559" s="622"/>
    </row>
    <row r="560" ht="15.75">
      <c r="H560" s="6" t="s">
        <v>562</v>
      </c>
    </row>
    <row r="561" ht="15.75">
      <c r="H561" s="6" t="s">
        <v>769</v>
      </c>
    </row>
    <row r="562" ht="15.75">
      <c r="H562" s="6" t="s">
        <v>770</v>
      </c>
    </row>
    <row r="563" ht="15.75">
      <c r="H563" s="361" t="str">
        <f>H11</f>
        <v>                         Добровольский К.А.</v>
      </c>
    </row>
    <row r="564" ht="15.75">
      <c r="H564" s="6" t="s">
        <v>772</v>
      </c>
    </row>
    <row r="565" ht="15.75">
      <c r="H565" s="6" t="s">
        <v>567</v>
      </c>
    </row>
    <row r="566" ht="15.75">
      <c r="A566" s="362"/>
    </row>
    <row r="567" ht="15.75">
      <c r="A567" s="3" t="s">
        <v>202</v>
      </c>
    </row>
    <row r="568" spans="1:8" ht="18.75" customHeight="1">
      <c r="A568" s="623" t="s">
        <v>120</v>
      </c>
      <c r="B568" s="623"/>
      <c r="C568" s="623"/>
      <c r="D568" s="623"/>
      <c r="E568" s="623"/>
      <c r="F568" s="623"/>
      <c r="G568" s="623"/>
      <c r="H568" s="623"/>
    </row>
    <row r="569" spans="1:8" ht="15.75">
      <c r="A569" s="364"/>
      <c r="B569" s="364"/>
      <c r="C569" s="366"/>
      <c r="D569" s="366"/>
      <c r="E569" s="366"/>
      <c r="F569" s="366"/>
      <c r="G569" s="366"/>
      <c r="H569" s="366"/>
    </row>
    <row r="570" spans="1:8" ht="16.5" customHeight="1">
      <c r="A570" s="581" t="s">
        <v>121</v>
      </c>
      <c r="B570" s="559" t="s">
        <v>122</v>
      </c>
      <c r="C570" s="560" t="s">
        <v>123</v>
      </c>
      <c r="D570" s="560"/>
      <c r="E570" s="560"/>
      <c r="F570" s="560"/>
      <c r="G570" s="561" t="s">
        <v>124</v>
      </c>
      <c r="H570" s="581" t="s">
        <v>125</v>
      </c>
    </row>
    <row r="571" spans="1:8" ht="15.75">
      <c r="A571" s="581"/>
      <c r="B571" s="559"/>
      <c r="C571" s="560"/>
      <c r="D571" s="560"/>
      <c r="E571" s="560"/>
      <c r="F571" s="560"/>
      <c r="G571" s="561"/>
      <c r="H571" s="581"/>
    </row>
    <row r="572" spans="1:8" ht="31.5">
      <c r="A572" s="581"/>
      <c r="B572" s="559"/>
      <c r="C572" s="369" t="s">
        <v>126</v>
      </c>
      <c r="D572" s="369" t="s">
        <v>127</v>
      </c>
      <c r="E572" s="370" t="s">
        <v>126</v>
      </c>
      <c r="F572" s="371" t="s">
        <v>127</v>
      </c>
      <c r="G572" s="561"/>
      <c r="H572" s="581"/>
    </row>
    <row r="573" spans="1:8" ht="15.75">
      <c r="A573" s="367">
        <v>1</v>
      </c>
      <c r="B573" s="367">
        <v>2</v>
      </c>
      <c r="C573" s="372">
        <v>3</v>
      </c>
      <c r="D573" s="372">
        <v>4</v>
      </c>
      <c r="E573" s="373"/>
      <c r="F573" s="374"/>
      <c r="G573" s="368">
        <v>5</v>
      </c>
      <c r="H573" s="367">
        <v>6</v>
      </c>
    </row>
    <row r="574" spans="1:8" ht="18.75" customHeight="1">
      <c r="A574" s="375">
        <v>1</v>
      </c>
      <c r="B574" s="582" t="s">
        <v>128</v>
      </c>
      <c r="C574" s="582"/>
      <c r="D574" s="582"/>
      <c r="E574" s="582"/>
      <c r="F574" s="582"/>
      <c r="G574" s="582"/>
      <c r="H574" s="582"/>
    </row>
    <row r="575" spans="1:8" ht="15.75">
      <c r="A575" s="376" t="s">
        <v>594</v>
      </c>
      <c r="B575" s="377" t="s">
        <v>129</v>
      </c>
      <c r="C575" s="378" t="s">
        <v>26</v>
      </c>
      <c r="D575" s="378" t="s">
        <v>26</v>
      </c>
      <c r="E575" s="378" t="s">
        <v>26</v>
      </c>
      <c r="F575" s="378" t="s">
        <v>26</v>
      </c>
      <c r="G575" s="378" t="s">
        <v>26</v>
      </c>
      <c r="H575" s="379" t="s">
        <v>130</v>
      </c>
    </row>
    <row r="576" spans="1:8" ht="15.75">
      <c r="A576" s="376" t="s">
        <v>735</v>
      </c>
      <c r="B576" s="377" t="s">
        <v>131</v>
      </c>
      <c r="C576" s="378" t="s">
        <v>26</v>
      </c>
      <c r="D576" s="378" t="s">
        <v>26</v>
      </c>
      <c r="E576" s="378" t="s">
        <v>26</v>
      </c>
      <c r="F576" s="378" t="s">
        <v>26</v>
      </c>
      <c r="G576" s="378" t="s">
        <v>26</v>
      </c>
      <c r="H576" s="379" t="s">
        <v>130</v>
      </c>
    </row>
    <row r="577" spans="1:8" ht="31.5">
      <c r="A577" s="376" t="s">
        <v>737</v>
      </c>
      <c r="B577" s="381" t="s">
        <v>132</v>
      </c>
      <c r="C577" s="566" t="s">
        <v>82</v>
      </c>
      <c r="D577" s="566" t="s">
        <v>83</v>
      </c>
      <c r="E577" s="378" t="s">
        <v>26</v>
      </c>
      <c r="F577" s="378" t="s">
        <v>26</v>
      </c>
      <c r="G577" s="378" t="s">
        <v>26</v>
      </c>
      <c r="H577" s="379" t="s">
        <v>130</v>
      </c>
    </row>
    <row r="578" spans="1:8" ht="47.25">
      <c r="A578" s="376" t="s">
        <v>739</v>
      </c>
      <c r="B578" s="381" t="s">
        <v>133</v>
      </c>
      <c r="C578" s="566" t="s">
        <v>84</v>
      </c>
      <c r="D578" s="566" t="s">
        <v>85</v>
      </c>
      <c r="E578" s="378" t="s">
        <v>26</v>
      </c>
      <c r="F578" s="378" t="s">
        <v>26</v>
      </c>
      <c r="G578" s="378" t="s">
        <v>26</v>
      </c>
      <c r="H578" s="379" t="s">
        <v>130</v>
      </c>
    </row>
    <row r="579" spans="1:8" ht="15.75">
      <c r="A579" s="376" t="s">
        <v>852</v>
      </c>
      <c r="B579" s="382" t="s">
        <v>134</v>
      </c>
      <c r="C579" s="566" t="s">
        <v>86</v>
      </c>
      <c r="D579" s="566" t="s">
        <v>87</v>
      </c>
      <c r="E579" s="378" t="s">
        <v>26</v>
      </c>
      <c r="F579" s="378" t="s">
        <v>26</v>
      </c>
      <c r="G579" s="378" t="s">
        <v>26</v>
      </c>
      <c r="H579" s="379" t="s">
        <v>130</v>
      </c>
    </row>
    <row r="580" spans="1:8" ht="15.75">
      <c r="A580" s="376" t="s">
        <v>853</v>
      </c>
      <c r="B580" s="382" t="s">
        <v>135</v>
      </c>
      <c r="C580" s="566" t="s">
        <v>82</v>
      </c>
      <c r="D580" s="566" t="s">
        <v>174</v>
      </c>
      <c r="E580" s="378" t="s">
        <v>26</v>
      </c>
      <c r="F580" s="378" t="s">
        <v>26</v>
      </c>
      <c r="G580" s="378" t="s">
        <v>26</v>
      </c>
      <c r="H580" s="379" t="s">
        <v>130</v>
      </c>
    </row>
    <row r="581" spans="1:8" ht="18.75" customHeight="1">
      <c r="A581" s="376">
        <v>2</v>
      </c>
      <c r="B581" s="579" t="s">
        <v>136</v>
      </c>
      <c r="C581" s="579"/>
      <c r="D581" s="579"/>
      <c r="E581" s="579"/>
      <c r="F581" s="579"/>
      <c r="G581" s="579"/>
      <c r="H581" s="579"/>
    </row>
    <row r="582" spans="1:8" ht="31.5">
      <c r="A582" s="376" t="s">
        <v>743</v>
      </c>
      <c r="B582" s="381" t="s">
        <v>137</v>
      </c>
      <c r="C582" s="378" t="s">
        <v>138</v>
      </c>
      <c r="D582" s="378" t="s">
        <v>183</v>
      </c>
      <c r="E582" s="378" t="s">
        <v>26</v>
      </c>
      <c r="F582" s="378" t="s">
        <v>26</v>
      </c>
      <c r="G582" s="383">
        <v>0</v>
      </c>
      <c r="H582" s="379"/>
    </row>
    <row r="583" spans="1:8" ht="47.25">
      <c r="A583" s="376" t="s">
        <v>746</v>
      </c>
      <c r="B583" s="381" t="s">
        <v>140</v>
      </c>
      <c r="C583" s="378" t="s">
        <v>26</v>
      </c>
      <c r="D583" s="378" t="s">
        <v>26</v>
      </c>
      <c r="E583" s="378" t="s">
        <v>26</v>
      </c>
      <c r="F583" s="378" t="s">
        <v>26</v>
      </c>
      <c r="G583" s="378" t="s">
        <v>26</v>
      </c>
      <c r="H583" s="379" t="s">
        <v>130</v>
      </c>
    </row>
    <row r="584" spans="1:8" ht="31.5">
      <c r="A584" s="376" t="s">
        <v>141</v>
      </c>
      <c r="B584" s="381" t="s">
        <v>142</v>
      </c>
      <c r="C584" s="378" t="s">
        <v>26</v>
      </c>
      <c r="D584" s="378" t="s">
        <v>26</v>
      </c>
      <c r="E584" s="378" t="s">
        <v>26</v>
      </c>
      <c r="F584" s="378" t="s">
        <v>26</v>
      </c>
      <c r="G584" s="378" t="s">
        <v>26</v>
      </c>
      <c r="H584" s="379" t="s">
        <v>130</v>
      </c>
    </row>
    <row r="585" spans="1:8" ht="18.75" customHeight="1">
      <c r="A585" s="376">
        <v>3</v>
      </c>
      <c r="B585" s="579" t="s">
        <v>184</v>
      </c>
      <c r="C585" s="579"/>
      <c r="D585" s="579"/>
      <c r="E585" s="579"/>
      <c r="F585" s="579"/>
      <c r="G585" s="579"/>
      <c r="H585" s="579"/>
    </row>
    <row r="586" spans="1:8" ht="31.5">
      <c r="A586" s="376" t="s">
        <v>756</v>
      </c>
      <c r="B586" s="382" t="s">
        <v>144</v>
      </c>
      <c r="C586" s="378" t="s">
        <v>26</v>
      </c>
      <c r="D586" s="378" t="s">
        <v>26</v>
      </c>
      <c r="E586" s="378" t="s">
        <v>26</v>
      </c>
      <c r="F586" s="378" t="s">
        <v>26</v>
      </c>
      <c r="G586" s="378" t="s">
        <v>26</v>
      </c>
      <c r="H586" s="379" t="s">
        <v>130</v>
      </c>
    </row>
    <row r="587" spans="1:8" ht="15.75">
      <c r="A587" s="376" t="s">
        <v>757</v>
      </c>
      <c r="B587" s="382" t="s">
        <v>145</v>
      </c>
      <c r="C587" s="378" t="s">
        <v>185</v>
      </c>
      <c r="D587" s="378" t="s">
        <v>178</v>
      </c>
      <c r="E587" s="378" t="s">
        <v>26</v>
      </c>
      <c r="F587" s="378" t="s">
        <v>26</v>
      </c>
      <c r="G587" s="383">
        <v>0</v>
      </c>
      <c r="H587" s="379"/>
    </row>
    <row r="588" spans="1:8" ht="15.75">
      <c r="A588" s="376" t="s">
        <v>147</v>
      </c>
      <c r="B588" s="382" t="s">
        <v>148</v>
      </c>
      <c r="C588" s="378" t="s">
        <v>186</v>
      </c>
      <c r="D588" s="378" t="s">
        <v>172</v>
      </c>
      <c r="E588" s="378" t="s">
        <v>26</v>
      </c>
      <c r="F588" s="378" t="s">
        <v>26</v>
      </c>
      <c r="G588" s="383">
        <v>0</v>
      </c>
      <c r="H588" s="379"/>
    </row>
    <row r="589" spans="1:8" ht="15.75">
      <c r="A589" s="376" t="s">
        <v>151</v>
      </c>
      <c r="B589" s="382" t="s">
        <v>152</v>
      </c>
      <c r="C589" s="378" t="s">
        <v>187</v>
      </c>
      <c r="D589" s="378" t="s">
        <v>188</v>
      </c>
      <c r="E589" s="378" t="s">
        <v>26</v>
      </c>
      <c r="F589" s="378" t="s">
        <v>26</v>
      </c>
      <c r="G589" s="383">
        <v>0</v>
      </c>
      <c r="H589" s="379"/>
    </row>
    <row r="590" spans="1:8" ht="15.75">
      <c r="A590" s="376" t="s">
        <v>155</v>
      </c>
      <c r="B590" s="382" t="s">
        <v>156</v>
      </c>
      <c r="C590" s="378" t="s">
        <v>189</v>
      </c>
      <c r="D590" s="378" t="s">
        <v>183</v>
      </c>
      <c r="E590" s="378" t="s">
        <v>26</v>
      </c>
      <c r="F590" s="378" t="s">
        <v>26</v>
      </c>
      <c r="G590" s="383">
        <v>0</v>
      </c>
      <c r="H590" s="379"/>
    </row>
    <row r="591" spans="1:8" ht="18.75" customHeight="1">
      <c r="A591" s="376">
        <v>4</v>
      </c>
      <c r="B591" s="579" t="s">
        <v>159</v>
      </c>
      <c r="C591" s="579"/>
      <c r="D591" s="579"/>
      <c r="E591" s="579"/>
      <c r="F591" s="579"/>
      <c r="G591" s="579"/>
      <c r="H591" s="579"/>
    </row>
    <row r="592" spans="1:8" ht="31.5">
      <c r="A592" s="376" t="s">
        <v>160</v>
      </c>
      <c r="B592" s="381" t="s">
        <v>161</v>
      </c>
      <c r="C592" s="378" t="s">
        <v>26</v>
      </c>
      <c r="D592" s="378" t="s">
        <v>26</v>
      </c>
      <c r="E592" s="378" t="s">
        <v>26</v>
      </c>
      <c r="F592" s="378" t="s">
        <v>26</v>
      </c>
      <c r="G592" s="378" t="s">
        <v>26</v>
      </c>
      <c r="H592" s="379" t="s">
        <v>130</v>
      </c>
    </row>
    <row r="593" spans="1:8" ht="47.25">
      <c r="A593" s="376" t="s">
        <v>162</v>
      </c>
      <c r="B593" s="381" t="s">
        <v>163</v>
      </c>
      <c r="C593" s="378" t="s">
        <v>26</v>
      </c>
      <c r="D593" s="378" t="s">
        <v>26</v>
      </c>
      <c r="E593" s="378" t="s">
        <v>26</v>
      </c>
      <c r="F593" s="378" t="s">
        <v>26</v>
      </c>
      <c r="G593" s="378" t="s">
        <v>26</v>
      </c>
      <c r="H593" s="379" t="s">
        <v>130</v>
      </c>
    </row>
    <row r="594" spans="1:8" ht="31.5">
      <c r="A594" s="376" t="s">
        <v>164</v>
      </c>
      <c r="B594" s="382" t="s">
        <v>165</v>
      </c>
      <c r="C594" s="378" t="s">
        <v>26</v>
      </c>
      <c r="D594" s="378" t="s">
        <v>26</v>
      </c>
      <c r="E594" s="378" t="s">
        <v>26</v>
      </c>
      <c r="F594" s="378" t="s">
        <v>26</v>
      </c>
      <c r="G594" s="378" t="s">
        <v>26</v>
      </c>
      <c r="H594" s="379" t="s">
        <v>130</v>
      </c>
    </row>
    <row r="595" spans="1:8" ht="31.5">
      <c r="A595" s="384" t="s">
        <v>166</v>
      </c>
      <c r="B595" s="385" t="s">
        <v>167</v>
      </c>
      <c r="C595" s="386" t="s">
        <v>26</v>
      </c>
      <c r="D595" s="386" t="s">
        <v>26</v>
      </c>
      <c r="E595" s="386" t="s">
        <v>26</v>
      </c>
      <c r="F595" s="386" t="s">
        <v>26</v>
      </c>
      <c r="G595" s="386" t="s">
        <v>26</v>
      </c>
      <c r="H595" s="387" t="s">
        <v>130</v>
      </c>
    </row>
    <row r="596" spans="1:8" ht="15.75">
      <c r="A596" s="388"/>
      <c r="B596" s="389"/>
      <c r="C596" s="390"/>
      <c r="D596" s="390"/>
      <c r="E596" s="390"/>
      <c r="F596" s="390"/>
      <c r="G596" s="390"/>
      <c r="H596" s="98"/>
    </row>
    <row r="597" spans="1:8" ht="18.75" customHeight="1">
      <c r="A597" s="580" t="s">
        <v>168</v>
      </c>
      <c r="B597" s="580"/>
      <c r="C597" s="580"/>
      <c r="D597" s="580"/>
      <c r="E597" s="580"/>
      <c r="F597" s="580"/>
      <c r="G597" s="580"/>
      <c r="H597" s="580"/>
    </row>
    <row r="598" spans="1:8" ht="15.75">
      <c r="A598" s="391"/>
      <c r="B598" s="391"/>
      <c r="C598" s="391"/>
      <c r="D598" s="391"/>
      <c r="E598" s="391"/>
      <c r="F598" s="391"/>
      <c r="G598" s="391"/>
      <c r="H598" s="391"/>
    </row>
    <row r="600" ht="15.75">
      <c r="H600" s="6" t="s">
        <v>113</v>
      </c>
    </row>
    <row r="601" ht="15.75">
      <c r="H601" s="6" t="s">
        <v>114</v>
      </c>
    </row>
    <row r="602" ht="15.75">
      <c r="H602" s="6" t="s">
        <v>115</v>
      </c>
    </row>
    <row r="603" ht="15.75">
      <c r="H603" s="6"/>
    </row>
    <row r="604" spans="1:8" ht="18.75" customHeight="1">
      <c r="A604" s="622" t="s">
        <v>116</v>
      </c>
      <c r="B604" s="622"/>
      <c r="C604" s="622"/>
      <c r="D604" s="622"/>
      <c r="E604" s="622"/>
      <c r="F604" s="622"/>
      <c r="G604" s="622"/>
      <c r="H604" s="622"/>
    </row>
    <row r="605" spans="1:8" ht="18.75" customHeight="1">
      <c r="A605" s="622" t="s">
        <v>117</v>
      </c>
      <c r="B605" s="622"/>
      <c r="C605" s="622"/>
      <c r="D605" s="622"/>
      <c r="E605" s="622"/>
      <c r="F605" s="622"/>
      <c r="G605" s="622"/>
      <c r="H605" s="622"/>
    </row>
    <row r="606" ht="15.75">
      <c r="H606" s="6" t="s">
        <v>562</v>
      </c>
    </row>
    <row r="607" ht="15.75">
      <c r="H607" s="6" t="s">
        <v>769</v>
      </c>
    </row>
    <row r="608" ht="15.75">
      <c r="H608" s="6" t="s">
        <v>770</v>
      </c>
    </row>
    <row r="609" ht="15.75">
      <c r="H609" s="361" t="str">
        <f>H11</f>
        <v>                         Добровольский К.А.</v>
      </c>
    </row>
    <row r="610" ht="15.75">
      <c r="H610" s="6" t="s">
        <v>772</v>
      </c>
    </row>
    <row r="611" ht="15.75">
      <c r="H611" s="6" t="s">
        <v>567</v>
      </c>
    </row>
    <row r="612" ht="15.75">
      <c r="A612" s="362"/>
    </row>
    <row r="613" ht="15.75">
      <c r="A613" s="3" t="s">
        <v>203</v>
      </c>
    </row>
    <row r="614" spans="1:8" ht="18.75" customHeight="1">
      <c r="A614" s="623" t="s">
        <v>120</v>
      </c>
      <c r="B614" s="623"/>
      <c r="C614" s="623"/>
      <c r="D614" s="623"/>
      <c r="E614" s="623"/>
      <c r="F614" s="623"/>
      <c r="G614" s="623"/>
      <c r="H614" s="623"/>
    </row>
    <row r="615" spans="1:8" ht="15.75">
      <c r="A615" s="364"/>
      <c r="B615" s="364"/>
      <c r="C615" s="366"/>
      <c r="D615" s="366"/>
      <c r="E615" s="366"/>
      <c r="F615" s="366"/>
      <c r="G615" s="366"/>
      <c r="H615" s="366"/>
    </row>
    <row r="616" spans="1:8" ht="16.5" customHeight="1">
      <c r="A616" s="581" t="s">
        <v>121</v>
      </c>
      <c r="B616" s="559" t="s">
        <v>122</v>
      </c>
      <c r="C616" s="560" t="s">
        <v>123</v>
      </c>
      <c r="D616" s="560"/>
      <c r="E616" s="560"/>
      <c r="F616" s="560"/>
      <c r="G616" s="561" t="s">
        <v>124</v>
      </c>
      <c r="H616" s="581" t="s">
        <v>125</v>
      </c>
    </row>
    <row r="617" spans="1:8" ht="15.75">
      <c r="A617" s="581"/>
      <c r="B617" s="559"/>
      <c r="C617" s="560"/>
      <c r="D617" s="560"/>
      <c r="E617" s="560"/>
      <c r="F617" s="560"/>
      <c r="G617" s="561"/>
      <c r="H617" s="581"/>
    </row>
    <row r="618" spans="1:8" ht="31.5">
      <c r="A618" s="581"/>
      <c r="B618" s="559"/>
      <c r="C618" s="369" t="s">
        <v>126</v>
      </c>
      <c r="D618" s="369" t="s">
        <v>127</v>
      </c>
      <c r="E618" s="370" t="s">
        <v>126</v>
      </c>
      <c r="F618" s="371" t="s">
        <v>127</v>
      </c>
      <c r="G618" s="561"/>
      <c r="H618" s="581"/>
    </row>
    <row r="619" spans="1:8" ht="15.75">
      <c r="A619" s="367">
        <v>1</v>
      </c>
      <c r="B619" s="367">
        <v>2</v>
      </c>
      <c r="C619" s="372">
        <v>3</v>
      </c>
      <c r="D619" s="372">
        <v>4</v>
      </c>
      <c r="E619" s="373"/>
      <c r="F619" s="374"/>
      <c r="G619" s="368">
        <v>5</v>
      </c>
      <c r="H619" s="367">
        <v>6</v>
      </c>
    </row>
    <row r="620" spans="1:8" ht="18.75" customHeight="1">
      <c r="A620" s="375">
        <v>1</v>
      </c>
      <c r="B620" s="582" t="s">
        <v>128</v>
      </c>
      <c r="C620" s="582"/>
      <c r="D620" s="582"/>
      <c r="E620" s="582"/>
      <c r="F620" s="582"/>
      <c r="G620" s="582"/>
      <c r="H620" s="582"/>
    </row>
    <row r="621" spans="1:8" ht="15.75">
      <c r="A621" s="376" t="s">
        <v>594</v>
      </c>
      <c r="B621" s="377" t="s">
        <v>129</v>
      </c>
      <c r="C621" s="378" t="s">
        <v>26</v>
      </c>
      <c r="D621" s="378" t="s">
        <v>26</v>
      </c>
      <c r="E621" s="378" t="s">
        <v>26</v>
      </c>
      <c r="F621" s="378" t="s">
        <v>26</v>
      </c>
      <c r="G621" s="378" t="s">
        <v>26</v>
      </c>
      <c r="H621" s="379" t="s">
        <v>130</v>
      </c>
    </row>
    <row r="622" spans="1:8" ht="15.75">
      <c r="A622" s="376" t="s">
        <v>735</v>
      </c>
      <c r="B622" s="377" t="s">
        <v>131</v>
      </c>
      <c r="C622" s="378" t="s">
        <v>26</v>
      </c>
      <c r="D622" s="378" t="s">
        <v>26</v>
      </c>
      <c r="E622" s="378" t="s">
        <v>26</v>
      </c>
      <c r="F622" s="378" t="s">
        <v>26</v>
      </c>
      <c r="G622" s="378" t="s">
        <v>26</v>
      </c>
      <c r="H622" s="379" t="s">
        <v>130</v>
      </c>
    </row>
    <row r="623" spans="1:8" ht="31.5">
      <c r="A623" s="376" t="s">
        <v>737</v>
      </c>
      <c r="B623" s="381" t="s">
        <v>132</v>
      </c>
      <c r="C623" s="566" t="s">
        <v>82</v>
      </c>
      <c r="D623" s="566" t="s">
        <v>83</v>
      </c>
      <c r="E623" s="378" t="s">
        <v>26</v>
      </c>
      <c r="F623" s="378" t="s">
        <v>26</v>
      </c>
      <c r="G623" s="378" t="s">
        <v>26</v>
      </c>
      <c r="H623" s="379" t="s">
        <v>130</v>
      </c>
    </row>
    <row r="624" spans="1:8" ht="47.25">
      <c r="A624" s="376" t="s">
        <v>739</v>
      </c>
      <c r="B624" s="381" t="s">
        <v>133</v>
      </c>
      <c r="C624" s="566" t="s">
        <v>84</v>
      </c>
      <c r="D624" s="566" t="s">
        <v>85</v>
      </c>
      <c r="E624" s="378" t="s">
        <v>26</v>
      </c>
      <c r="F624" s="378" t="s">
        <v>26</v>
      </c>
      <c r="G624" s="378" t="s">
        <v>26</v>
      </c>
      <c r="H624" s="379" t="s">
        <v>130</v>
      </c>
    </row>
    <row r="625" spans="1:8" ht="15.75">
      <c r="A625" s="376" t="s">
        <v>852</v>
      </c>
      <c r="B625" s="382" t="s">
        <v>134</v>
      </c>
      <c r="C625" s="566" t="s">
        <v>86</v>
      </c>
      <c r="D625" s="566" t="s">
        <v>87</v>
      </c>
      <c r="E625" s="378" t="s">
        <v>26</v>
      </c>
      <c r="F625" s="378" t="s">
        <v>26</v>
      </c>
      <c r="G625" s="378" t="s">
        <v>26</v>
      </c>
      <c r="H625" s="379" t="s">
        <v>130</v>
      </c>
    </row>
    <row r="626" spans="1:8" ht="15.75">
      <c r="A626" s="376" t="s">
        <v>853</v>
      </c>
      <c r="B626" s="382" t="s">
        <v>135</v>
      </c>
      <c r="C626" s="566" t="s">
        <v>82</v>
      </c>
      <c r="D626" s="566" t="s">
        <v>174</v>
      </c>
      <c r="E626" s="378" t="s">
        <v>26</v>
      </c>
      <c r="F626" s="378" t="s">
        <v>26</v>
      </c>
      <c r="G626" s="378" t="s">
        <v>26</v>
      </c>
      <c r="H626" s="379" t="s">
        <v>130</v>
      </c>
    </row>
    <row r="627" spans="1:8" ht="18.75" customHeight="1">
      <c r="A627" s="376">
        <v>2</v>
      </c>
      <c r="B627" s="579" t="s">
        <v>136</v>
      </c>
      <c r="C627" s="579"/>
      <c r="D627" s="579"/>
      <c r="E627" s="579"/>
      <c r="F627" s="579"/>
      <c r="G627" s="579"/>
      <c r="H627" s="579"/>
    </row>
    <row r="628" spans="1:8" ht="31.5">
      <c r="A628" s="376" t="s">
        <v>743</v>
      </c>
      <c r="B628" s="381" t="s">
        <v>137</v>
      </c>
      <c r="C628" s="378" t="s">
        <v>138</v>
      </c>
      <c r="D628" s="378" t="s">
        <v>183</v>
      </c>
      <c r="E628" s="378" t="s">
        <v>26</v>
      </c>
      <c r="F628" s="378" t="s">
        <v>26</v>
      </c>
      <c r="G628" s="383">
        <v>0</v>
      </c>
      <c r="H628" s="379"/>
    </row>
    <row r="629" spans="1:8" ht="47.25">
      <c r="A629" s="376" t="s">
        <v>746</v>
      </c>
      <c r="B629" s="381" t="s">
        <v>140</v>
      </c>
      <c r="C629" s="378" t="s">
        <v>26</v>
      </c>
      <c r="D629" s="378" t="s">
        <v>26</v>
      </c>
      <c r="E629" s="378" t="s">
        <v>26</v>
      </c>
      <c r="F629" s="378" t="s">
        <v>26</v>
      </c>
      <c r="G629" s="378" t="s">
        <v>26</v>
      </c>
      <c r="H629" s="379" t="s">
        <v>130</v>
      </c>
    </row>
    <row r="630" spans="1:8" ht="31.5">
      <c r="A630" s="376" t="s">
        <v>141</v>
      </c>
      <c r="B630" s="381" t="s">
        <v>142</v>
      </c>
      <c r="C630" s="378" t="s">
        <v>26</v>
      </c>
      <c r="D630" s="378" t="s">
        <v>26</v>
      </c>
      <c r="E630" s="378" t="s">
        <v>26</v>
      </c>
      <c r="F630" s="378" t="s">
        <v>26</v>
      </c>
      <c r="G630" s="378" t="s">
        <v>26</v>
      </c>
      <c r="H630" s="379" t="s">
        <v>130</v>
      </c>
    </row>
    <row r="631" spans="1:8" ht="18.75" customHeight="1">
      <c r="A631" s="376">
        <v>3</v>
      </c>
      <c r="B631" s="579" t="s">
        <v>184</v>
      </c>
      <c r="C631" s="579"/>
      <c r="D631" s="579"/>
      <c r="E631" s="579"/>
      <c r="F631" s="579"/>
      <c r="G631" s="579"/>
      <c r="H631" s="579"/>
    </row>
    <row r="632" spans="1:8" ht="31.5">
      <c r="A632" s="376" t="s">
        <v>756</v>
      </c>
      <c r="B632" s="382" t="s">
        <v>144</v>
      </c>
      <c r="C632" s="378" t="s">
        <v>26</v>
      </c>
      <c r="D632" s="378" t="s">
        <v>26</v>
      </c>
      <c r="E632" s="378" t="s">
        <v>26</v>
      </c>
      <c r="F632" s="378" t="s">
        <v>26</v>
      </c>
      <c r="G632" s="378" t="s">
        <v>26</v>
      </c>
      <c r="H632" s="379" t="s">
        <v>130</v>
      </c>
    </row>
    <row r="633" spans="1:8" ht="15.75">
      <c r="A633" s="376" t="s">
        <v>757</v>
      </c>
      <c r="B633" s="382" t="s">
        <v>145</v>
      </c>
      <c r="C633" s="378" t="s">
        <v>191</v>
      </c>
      <c r="D633" s="378" t="s">
        <v>173</v>
      </c>
      <c r="E633" s="378" t="s">
        <v>26</v>
      </c>
      <c r="F633" s="378" t="s">
        <v>26</v>
      </c>
      <c r="G633" s="383">
        <v>0</v>
      </c>
      <c r="H633" s="379"/>
    </row>
    <row r="634" spans="1:8" ht="15.75">
      <c r="A634" s="376" t="s">
        <v>147</v>
      </c>
      <c r="B634" s="382" t="s">
        <v>148</v>
      </c>
      <c r="C634" s="378" t="s">
        <v>186</v>
      </c>
      <c r="D634" s="378" t="s">
        <v>172</v>
      </c>
      <c r="E634" s="378" t="s">
        <v>26</v>
      </c>
      <c r="F634" s="378" t="s">
        <v>26</v>
      </c>
      <c r="G634" s="383">
        <v>0</v>
      </c>
      <c r="H634" s="379"/>
    </row>
    <row r="635" spans="1:8" ht="15.75">
      <c r="A635" s="376" t="s">
        <v>151</v>
      </c>
      <c r="B635" s="382" t="s">
        <v>152</v>
      </c>
      <c r="C635" s="378" t="s">
        <v>187</v>
      </c>
      <c r="D635" s="378" t="s">
        <v>188</v>
      </c>
      <c r="E635" s="378" t="s">
        <v>26</v>
      </c>
      <c r="F635" s="378" t="s">
        <v>26</v>
      </c>
      <c r="G635" s="383">
        <v>0</v>
      </c>
      <c r="H635" s="379"/>
    </row>
    <row r="636" spans="1:8" ht="15.75">
      <c r="A636" s="376" t="s">
        <v>155</v>
      </c>
      <c r="B636" s="382" t="s">
        <v>156</v>
      </c>
      <c r="C636" s="378" t="s">
        <v>189</v>
      </c>
      <c r="D636" s="378" t="s">
        <v>183</v>
      </c>
      <c r="E636" s="378" t="s">
        <v>26</v>
      </c>
      <c r="F636" s="378" t="s">
        <v>26</v>
      </c>
      <c r="G636" s="383">
        <v>0</v>
      </c>
      <c r="H636" s="379"/>
    </row>
    <row r="637" spans="1:8" ht="18.75" customHeight="1">
      <c r="A637" s="376">
        <v>4</v>
      </c>
      <c r="B637" s="579" t="s">
        <v>159</v>
      </c>
      <c r="C637" s="579"/>
      <c r="D637" s="579"/>
      <c r="E637" s="579"/>
      <c r="F637" s="579"/>
      <c r="G637" s="579"/>
      <c r="H637" s="579"/>
    </row>
    <row r="638" spans="1:8" ht="31.5">
      <c r="A638" s="376" t="s">
        <v>160</v>
      </c>
      <c r="B638" s="381" t="s">
        <v>161</v>
      </c>
      <c r="C638" s="378" t="s">
        <v>26</v>
      </c>
      <c r="D638" s="378" t="s">
        <v>26</v>
      </c>
      <c r="E638" s="378" t="s">
        <v>26</v>
      </c>
      <c r="F638" s="378" t="s">
        <v>26</v>
      </c>
      <c r="G638" s="378" t="s">
        <v>26</v>
      </c>
      <c r="H638" s="379" t="s">
        <v>130</v>
      </c>
    </row>
    <row r="639" spans="1:8" ht="47.25">
      <c r="A639" s="376" t="s">
        <v>162</v>
      </c>
      <c r="B639" s="381" t="s">
        <v>163</v>
      </c>
      <c r="C639" s="378" t="s">
        <v>26</v>
      </c>
      <c r="D639" s="378" t="s">
        <v>26</v>
      </c>
      <c r="E639" s="378" t="s">
        <v>26</v>
      </c>
      <c r="F639" s="378" t="s">
        <v>26</v>
      </c>
      <c r="G639" s="378" t="s">
        <v>26</v>
      </c>
      <c r="H639" s="379" t="s">
        <v>130</v>
      </c>
    </row>
    <row r="640" spans="1:8" ht="31.5">
      <c r="A640" s="376" t="s">
        <v>164</v>
      </c>
      <c r="B640" s="382" t="s">
        <v>165</v>
      </c>
      <c r="C640" s="378" t="s">
        <v>26</v>
      </c>
      <c r="D640" s="378" t="s">
        <v>26</v>
      </c>
      <c r="E640" s="378" t="s">
        <v>26</v>
      </c>
      <c r="F640" s="378" t="s">
        <v>26</v>
      </c>
      <c r="G640" s="378" t="s">
        <v>26</v>
      </c>
      <c r="H640" s="379" t="s">
        <v>130</v>
      </c>
    </row>
    <row r="641" spans="1:8" ht="31.5">
      <c r="A641" s="384" t="s">
        <v>166</v>
      </c>
      <c r="B641" s="385" t="s">
        <v>167</v>
      </c>
      <c r="C641" s="386" t="s">
        <v>26</v>
      </c>
      <c r="D641" s="386" t="s">
        <v>26</v>
      </c>
      <c r="E641" s="386" t="s">
        <v>26</v>
      </c>
      <c r="F641" s="386" t="s">
        <v>26</v>
      </c>
      <c r="G641" s="386" t="s">
        <v>26</v>
      </c>
      <c r="H641" s="387" t="s">
        <v>130</v>
      </c>
    </row>
    <row r="642" spans="1:8" ht="15.75">
      <c r="A642" s="388"/>
      <c r="B642" s="389"/>
      <c r="C642" s="390"/>
      <c r="D642" s="390"/>
      <c r="E642" s="390"/>
      <c r="F642" s="390"/>
      <c r="G642" s="390"/>
      <c r="H642" s="98"/>
    </row>
    <row r="643" spans="1:8" ht="18.75" customHeight="1">
      <c r="A643" s="580" t="s">
        <v>168</v>
      </c>
      <c r="B643" s="580"/>
      <c r="C643" s="580"/>
      <c r="D643" s="580"/>
      <c r="E643" s="580"/>
      <c r="F643" s="580"/>
      <c r="G643" s="580"/>
      <c r="H643" s="580"/>
    </row>
    <row r="644" spans="1:8" ht="15.75">
      <c r="A644" s="391"/>
      <c r="B644" s="391"/>
      <c r="C644" s="391"/>
      <c r="D644" s="391"/>
      <c r="E644" s="391"/>
      <c r="F644" s="391"/>
      <c r="G644" s="391"/>
      <c r="H644" s="391"/>
    </row>
    <row r="646" ht="15.75">
      <c r="H646" s="6" t="s">
        <v>113</v>
      </c>
    </row>
    <row r="647" ht="15.75">
      <c r="H647" s="6" t="s">
        <v>114</v>
      </c>
    </row>
    <row r="648" ht="15.75">
      <c r="H648" s="6" t="s">
        <v>115</v>
      </c>
    </row>
    <row r="649" ht="15.75">
      <c r="H649" s="6"/>
    </row>
    <row r="650" spans="1:8" ht="18.75" customHeight="1">
      <c r="A650" s="622" t="s">
        <v>116</v>
      </c>
      <c r="B650" s="622"/>
      <c r="C650" s="622"/>
      <c r="D650" s="622"/>
      <c r="E650" s="622"/>
      <c r="F650" s="622"/>
      <c r="G650" s="622"/>
      <c r="H650" s="622"/>
    </row>
    <row r="651" spans="1:8" ht="18.75" customHeight="1">
      <c r="A651" s="622" t="s">
        <v>117</v>
      </c>
      <c r="B651" s="622"/>
      <c r="C651" s="622"/>
      <c r="D651" s="622"/>
      <c r="E651" s="622"/>
      <c r="F651" s="622"/>
      <c r="G651" s="622"/>
      <c r="H651" s="622"/>
    </row>
    <row r="652" ht="15.75">
      <c r="H652" s="6" t="s">
        <v>562</v>
      </c>
    </row>
    <row r="653" ht="15.75">
      <c r="H653" s="6" t="s">
        <v>769</v>
      </c>
    </row>
    <row r="654" ht="15.75">
      <c r="H654" s="6" t="s">
        <v>770</v>
      </c>
    </row>
    <row r="655" ht="15.75">
      <c r="H655" s="361" t="str">
        <f>H11</f>
        <v>                         Добровольский К.А.</v>
      </c>
    </row>
    <row r="656" ht="15.75">
      <c r="H656" s="6" t="s">
        <v>772</v>
      </c>
    </row>
    <row r="657" ht="15.75">
      <c r="H657" s="6" t="s">
        <v>567</v>
      </c>
    </row>
    <row r="658" ht="15.75">
      <c r="A658" s="362"/>
    </row>
    <row r="659" ht="15.75">
      <c r="A659" s="3" t="s">
        <v>204</v>
      </c>
    </row>
    <row r="660" spans="1:8" ht="18.75" customHeight="1">
      <c r="A660" s="623" t="s">
        <v>120</v>
      </c>
      <c r="B660" s="623"/>
      <c r="C660" s="623"/>
      <c r="D660" s="623"/>
      <c r="E660" s="623"/>
      <c r="F660" s="623"/>
      <c r="G660" s="623"/>
      <c r="H660" s="623"/>
    </row>
    <row r="661" spans="1:8" ht="15.75">
      <c r="A661" s="364"/>
      <c r="B661" s="364"/>
      <c r="C661" s="366"/>
      <c r="D661" s="366"/>
      <c r="E661" s="366"/>
      <c r="F661" s="366"/>
      <c r="G661" s="366"/>
      <c r="H661" s="366"/>
    </row>
    <row r="662" spans="1:8" ht="16.5" customHeight="1">
      <c r="A662" s="581" t="s">
        <v>121</v>
      </c>
      <c r="B662" s="559" t="s">
        <v>122</v>
      </c>
      <c r="C662" s="560" t="s">
        <v>123</v>
      </c>
      <c r="D662" s="560"/>
      <c r="E662" s="560"/>
      <c r="F662" s="560"/>
      <c r="G662" s="561" t="s">
        <v>124</v>
      </c>
      <c r="H662" s="581" t="s">
        <v>125</v>
      </c>
    </row>
    <row r="663" spans="1:8" ht="15.75">
      <c r="A663" s="581"/>
      <c r="B663" s="559"/>
      <c r="C663" s="560"/>
      <c r="D663" s="560"/>
      <c r="E663" s="560"/>
      <c r="F663" s="560"/>
      <c r="G663" s="561"/>
      <c r="H663" s="581"/>
    </row>
    <row r="664" spans="1:8" ht="31.5">
      <c r="A664" s="581"/>
      <c r="B664" s="559"/>
      <c r="C664" s="369" t="s">
        <v>126</v>
      </c>
      <c r="D664" s="369" t="s">
        <v>127</v>
      </c>
      <c r="E664" s="370" t="s">
        <v>126</v>
      </c>
      <c r="F664" s="371" t="s">
        <v>127</v>
      </c>
      <c r="G664" s="561"/>
      <c r="H664" s="581"/>
    </row>
    <row r="665" spans="1:8" ht="15.75">
      <c r="A665" s="367">
        <v>1</v>
      </c>
      <c r="B665" s="367">
        <v>2</v>
      </c>
      <c r="C665" s="372">
        <v>3</v>
      </c>
      <c r="D665" s="372">
        <v>4</v>
      </c>
      <c r="E665" s="373"/>
      <c r="F665" s="374"/>
      <c r="G665" s="368">
        <v>5</v>
      </c>
      <c r="H665" s="367">
        <v>6</v>
      </c>
    </row>
    <row r="666" spans="1:8" ht="18.75" customHeight="1">
      <c r="A666" s="375">
        <v>1</v>
      </c>
      <c r="B666" s="582" t="s">
        <v>128</v>
      </c>
      <c r="C666" s="582"/>
      <c r="D666" s="582"/>
      <c r="E666" s="582"/>
      <c r="F666" s="582"/>
      <c r="G666" s="582"/>
      <c r="H666" s="582"/>
    </row>
    <row r="667" spans="1:8" ht="15.75">
      <c r="A667" s="376" t="s">
        <v>594</v>
      </c>
      <c r="B667" s="377" t="s">
        <v>129</v>
      </c>
      <c r="C667" s="378" t="s">
        <v>26</v>
      </c>
      <c r="D667" s="378" t="s">
        <v>26</v>
      </c>
      <c r="E667" s="378" t="s">
        <v>26</v>
      </c>
      <c r="F667" s="378" t="s">
        <v>26</v>
      </c>
      <c r="G667" s="378" t="s">
        <v>26</v>
      </c>
      <c r="H667" s="379" t="s">
        <v>130</v>
      </c>
    </row>
    <row r="668" spans="1:8" ht="15.75">
      <c r="A668" s="376" t="s">
        <v>735</v>
      </c>
      <c r="B668" s="377" t="s">
        <v>131</v>
      </c>
      <c r="C668" s="378" t="s">
        <v>26</v>
      </c>
      <c r="D668" s="378" t="s">
        <v>26</v>
      </c>
      <c r="E668" s="378" t="s">
        <v>26</v>
      </c>
      <c r="F668" s="378" t="s">
        <v>26</v>
      </c>
      <c r="G668" s="378" t="s">
        <v>26</v>
      </c>
      <c r="H668" s="379" t="s">
        <v>130</v>
      </c>
    </row>
    <row r="669" spans="1:8" ht="31.5">
      <c r="A669" s="376" t="s">
        <v>737</v>
      </c>
      <c r="B669" s="381" t="s">
        <v>132</v>
      </c>
      <c r="C669" s="566" t="s">
        <v>82</v>
      </c>
      <c r="D669" s="566" t="s">
        <v>83</v>
      </c>
      <c r="E669" s="378" t="s">
        <v>26</v>
      </c>
      <c r="F669" s="378" t="s">
        <v>26</v>
      </c>
      <c r="G669" s="378" t="s">
        <v>26</v>
      </c>
      <c r="H669" s="379" t="s">
        <v>130</v>
      </c>
    </row>
    <row r="670" spans="1:8" ht="47.25">
      <c r="A670" s="376" t="s">
        <v>739</v>
      </c>
      <c r="B670" s="381" t="s">
        <v>133</v>
      </c>
      <c r="C670" s="566" t="s">
        <v>84</v>
      </c>
      <c r="D670" s="566" t="s">
        <v>85</v>
      </c>
      <c r="E670" s="378" t="s">
        <v>26</v>
      </c>
      <c r="F670" s="378" t="s">
        <v>26</v>
      </c>
      <c r="G670" s="378" t="s">
        <v>26</v>
      </c>
      <c r="H670" s="379" t="s">
        <v>130</v>
      </c>
    </row>
    <row r="671" spans="1:8" ht="15.75">
      <c r="A671" s="376" t="s">
        <v>852</v>
      </c>
      <c r="B671" s="382" t="s">
        <v>134</v>
      </c>
      <c r="C671" s="566" t="s">
        <v>86</v>
      </c>
      <c r="D671" s="566" t="s">
        <v>87</v>
      </c>
      <c r="E671" s="378" t="s">
        <v>26</v>
      </c>
      <c r="F671" s="378" t="s">
        <v>26</v>
      </c>
      <c r="G671" s="378" t="s">
        <v>26</v>
      </c>
      <c r="H671" s="379" t="s">
        <v>130</v>
      </c>
    </row>
    <row r="672" spans="1:8" ht="15.75">
      <c r="A672" s="376" t="s">
        <v>853</v>
      </c>
      <c r="B672" s="382" t="s">
        <v>135</v>
      </c>
      <c r="C672" s="566" t="s">
        <v>82</v>
      </c>
      <c r="D672" s="566" t="s">
        <v>174</v>
      </c>
      <c r="E672" s="378" t="s">
        <v>26</v>
      </c>
      <c r="F672" s="378" t="s">
        <v>26</v>
      </c>
      <c r="G672" s="378" t="s">
        <v>26</v>
      </c>
      <c r="H672" s="379" t="s">
        <v>130</v>
      </c>
    </row>
    <row r="673" spans="1:8" ht="18.75" customHeight="1">
      <c r="A673" s="376">
        <v>2</v>
      </c>
      <c r="B673" s="579" t="s">
        <v>136</v>
      </c>
      <c r="C673" s="579"/>
      <c r="D673" s="579"/>
      <c r="E673" s="579"/>
      <c r="F673" s="579"/>
      <c r="G673" s="579"/>
      <c r="H673" s="579"/>
    </row>
    <row r="674" spans="1:8" ht="31.5">
      <c r="A674" s="376" t="s">
        <v>743</v>
      </c>
      <c r="B674" s="381" t="s">
        <v>137</v>
      </c>
      <c r="C674" s="378" t="s">
        <v>138</v>
      </c>
      <c r="D674" s="378" t="s">
        <v>172</v>
      </c>
      <c r="E674" s="378" t="s">
        <v>26</v>
      </c>
      <c r="F674" s="378" t="s">
        <v>26</v>
      </c>
      <c r="G674" s="383">
        <v>0</v>
      </c>
      <c r="H674" s="379"/>
    </row>
    <row r="675" spans="1:8" ht="47.25">
      <c r="A675" s="376" t="s">
        <v>746</v>
      </c>
      <c r="B675" s="381" t="s">
        <v>140</v>
      </c>
      <c r="C675" s="378" t="s">
        <v>26</v>
      </c>
      <c r="D675" s="378" t="s">
        <v>26</v>
      </c>
      <c r="E675" s="378" t="s">
        <v>26</v>
      </c>
      <c r="F675" s="378" t="s">
        <v>26</v>
      </c>
      <c r="G675" s="378" t="s">
        <v>26</v>
      </c>
      <c r="H675" s="379" t="s">
        <v>130</v>
      </c>
    </row>
    <row r="676" spans="1:8" ht="31.5">
      <c r="A676" s="376" t="s">
        <v>141</v>
      </c>
      <c r="B676" s="381" t="s">
        <v>142</v>
      </c>
      <c r="C676" s="378" t="s">
        <v>26</v>
      </c>
      <c r="D676" s="378" t="s">
        <v>26</v>
      </c>
      <c r="E676" s="378" t="s">
        <v>26</v>
      </c>
      <c r="F676" s="378" t="s">
        <v>26</v>
      </c>
      <c r="G676" s="378" t="s">
        <v>26</v>
      </c>
      <c r="H676" s="379" t="s">
        <v>130</v>
      </c>
    </row>
    <row r="677" spans="1:8" ht="18.75" customHeight="1">
      <c r="A677" s="376">
        <v>3</v>
      </c>
      <c r="B677" s="579" t="s">
        <v>184</v>
      </c>
      <c r="C677" s="579"/>
      <c r="D677" s="579"/>
      <c r="E677" s="579"/>
      <c r="F677" s="579"/>
      <c r="G677" s="579"/>
      <c r="H677" s="579"/>
    </row>
    <row r="678" spans="1:8" ht="31.5">
      <c r="A678" s="376" t="s">
        <v>756</v>
      </c>
      <c r="B678" s="382" t="s">
        <v>144</v>
      </c>
      <c r="C678" s="378" t="s">
        <v>26</v>
      </c>
      <c r="D678" s="378" t="s">
        <v>26</v>
      </c>
      <c r="E678" s="378" t="s">
        <v>26</v>
      </c>
      <c r="F678" s="378" t="s">
        <v>26</v>
      </c>
      <c r="G678" s="378" t="s">
        <v>26</v>
      </c>
      <c r="H678" s="379" t="s">
        <v>130</v>
      </c>
    </row>
    <row r="679" spans="1:8" ht="15.75">
      <c r="A679" s="376" t="s">
        <v>757</v>
      </c>
      <c r="B679" s="382" t="s">
        <v>145</v>
      </c>
      <c r="C679" s="378" t="s">
        <v>138</v>
      </c>
      <c r="D679" s="378" t="s">
        <v>205</v>
      </c>
      <c r="E679" s="378" t="s">
        <v>26</v>
      </c>
      <c r="F679" s="378" t="s">
        <v>26</v>
      </c>
      <c r="G679" s="383">
        <v>0</v>
      </c>
      <c r="H679" s="379"/>
    </row>
    <row r="680" spans="1:8" ht="15.75">
      <c r="A680" s="376" t="s">
        <v>147</v>
      </c>
      <c r="B680" s="382" t="s">
        <v>148</v>
      </c>
      <c r="C680" s="378" t="s">
        <v>206</v>
      </c>
      <c r="D680" s="378" t="s">
        <v>207</v>
      </c>
      <c r="E680" s="378" t="s">
        <v>26</v>
      </c>
      <c r="F680" s="378" t="s">
        <v>26</v>
      </c>
      <c r="G680" s="383">
        <v>0</v>
      </c>
      <c r="H680" s="379"/>
    </row>
    <row r="681" spans="1:8" ht="15.75">
      <c r="A681" s="376" t="s">
        <v>151</v>
      </c>
      <c r="B681" s="382" t="s">
        <v>152</v>
      </c>
      <c r="C681" s="378" t="s">
        <v>208</v>
      </c>
      <c r="D681" s="378" t="s">
        <v>177</v>
      </c>
      <c r="E681" s="378" t="s">
        <v>26</v>
      </c>
      <c r="F681" s="378" t="s">
        <v>26</v>
      </c>
      <c r="G681" s="383">
        <v>0</v>
      </c>
      <c r="H681" s="379"/>
    </row>
    <row r="682" spans="1:8" ht="15.75">
      <c r="A682" s="376" t="s">
        <v>155</v>
      </c>
      <c r="B682" s="382" t="s">
        <v>156</v>
      </c>
      <c r="C682" s="378" t="s">
        <v>209</v>
      </c>
      <c r="D682" s="378" t="s">
        <v>178</v>
      </c>
      <c r="E682" s="378" t="s">
        <v>26</v>
      </c>
      <c r="F682" s="378" t="s">
        <v>26</v>
      </c>
      <c r="G682" s="383">
        <v>0</v>
      </c>
      <c r="H682" s="379"/>
    </row>
    <row r="683" spans="1:8" ht="18.75" customHeight="1">
      <c r="A683" s="376">
        <v>4</v>
      </c>
      <c r="B683" s="579" t="s">
        <v>159</v>
      </c>
      <c r="C683" s="579"/>
      <c r="D683" s="579"/>
      <c r="E683" s="579"/>
      <c r="F683" s="579"/>
      <c r="G683" s="579"/>
      <c r="H683" s="579"/>
    </row>
    <row r="684" spans="1:8" ht="31.5">
      <c r="A684" s="376" t="s">
        <v>160</v>
      </c>
      <c r="B684" s="381" t="s">
        <v>161</v>
      </c>
      <c r="C684" s="378" t="s">
        <v>26</v>
      </c>
      <c r="D684" s="378" t="s">
        <v>26</v>
      </c>
      <c r="E684" s="378" t="s">
        <v>26</v>
      </c>
      <c r="F684" s="378" t="s">
        <v>26</v>
      </c>
      <c r="G684" s="378" t="s">
        <v>26</v>
      </c>
      <c r="H684" s="379" t="s">
        <v>130</v>
      </c>
    </row>
    <row r="685" spans="1:8" ht="47.25">
      <c r="A685" s="376" t="s">
        <v>162</v>
      </c>
      <c r="B685" s="381" t="s">
        <v>163</v>
      </c>
      <c r="C685" s="378" t="s">
        <v>26</v>
      </c>
      <c r="D685" s="378" t="s">
        <v>26</v>
      </c>
      <c r="E685" s="378" t="s">
        <v>26</v>
      </c>
      <c r="F685" s="378" t="s">
        <v>26</v>
      </c>
      <c r="G685" s="378" t="s">
        <v>26</v>
      </c>
      <c r="H685" s="379" t="s">
        <v>130</v>
      </c>
    </row>
    <row r="686" spans="1:8" ht="31.5">
      <c r="A686" s="376" t="s">
        <v>164</v>
      </c>
      <c r="B686" s="382" t="s">
        <v>165</v>
      </c>
      <c r="C686" s="378" t="s">
        <v>26</v>
      </c>
      <c r="D686" s="378" t="s">
        <v>26</v>
      </c>
      <c r="E686" s="378" t="s">
        <v>26</v>
      </c>
      <c r="F686" s="378" t="s">
        <v>26</v>
      </c>
      <c r="G686" s="378" t="s">
        <v>26</v>
      </c>
      <c r="H686" s="379" t="s">
        <v>130</v>
      </c>
    </row>
    <row r="687" spans="1:8" ht="31.5">
      <c r="A687" s="384" t="s">
        <v>166</v>
      </c>
      <c r="B687" s="385" t="s">
        <v>167</v>
      </c>
      <c r="C687" s="386" t="s">
        <v>26</v>
      </c>
      <c r="D687" s="386" t="s">
        <v>26</v>
      </c>
      <c r="E687" s="386" t="s">
        <v>26</v>
      </c>
      <c r="F687" s="386" t="s">
        <v>26</v>
      </c>
      <c r="G687" s="386" t="s">
        <v>26</v>
      </c>
      <c r="H687" s="387" t="s">
        <v>130</v>
      </c>
    </row>
    <row r="688" spans="1:8" ht="15.75">
      <c r="A688" s="388"/>
      <c r="B688" s="389"/>
      <c r="C688" s="390"/>
      <c r="D688" s="390"/>
      <c r="E688" s="390"/>
      <c r="F688" s="390"/>
      <c r="G688" s="390"/>
      <c r="H688" s="98"/>
    </row>
    <row r="689" spans="1:8" ht="18.75" customHeight="1">
      <c r="A689" s="580" t="s">
        <v>168</v>
      </c>
      <c r="B689" s="580"/>
      <c r="C689" s="580"/>
      <c r="D689" s="580"/>
      <c r="E689" s="580"/>
      <c r="F689" s="580"/>
      <c r="G689" s="580"/>
      <c r="H689" s="580"/>
    </row>
    <row r="690" spans="1:8" ht="15.75">
      <c r="A690" s="391"/>
      <c r="B690" s="391"/>
      <c r="C690" s="391"/>
      <c r="D690" s="391"/>
      <c r="E690" s="391"/>
      <c r="F690" s="391"/>
      <c r="G690" s="391"/>
      <c r="H690" s="391"/>
    </row>
    <row r="692" ht="15.75">
      <c r="H692" s="6" t="s">
        <v>113</v>
      </c>
    </row>
    <row r="693" ht="15.75">
      <c r="H693" s="6" t="s">
        <v>114</v>
      </c>
    </row>
    <row r="694" ht="15.75">
      <c r="H694" s="6" t="s">
        <v>115</v>
      </c>
    </row>
    <row r="695" ht="15.75">
      <c r="H695" s="6"/>
    </row>
    <row r="696" spans="1:8" ht="18.75" customHeight="1">
      <c r="A696" s="622" t="s">
        <v>116</v>
      </c>
      <c r="B696" s="622"/>
      <c r="C696" s="622"/>
      <c r="D696" s="622"/>
      <c r="E696" s="622"/>
      <c r="F696" s="622"/>
      <c r="G696" s="622"/>
      <c r="H696" s="622"/>
    </row>
    <row r="697" spans="1:8" ht="18.75" customHeight="1">
      <c r="A697" s="622" t="s">
        <v>117</v>
      </c>
      <c r="B697" s="622"/>
      <c r="C697" s="622"/>
      <c r="D697" s="622"/>
      <c r="E697" s="622"/>
      <c r="F697" s="622"/>
      <c r="G697" s="622"/>
      <c r="H697" s="622"/>
    </row>
    <row r="698" ht="15.75">
      <c r="H698" s="6" t="s">
        <v>562</v>
      </c>
    </row>
    <row r="699" ht="15.75">
      <c r="H699" s="6" t="s">
        <v>769</v>
      </c>
    </row>
    <row r="700" ht="15.75">
      <c r="H700" s="6" t="s">
        <v>770</v>
      </c>
    </row>
    <row r="701" ht="15.75">
      <c r="H701" s="361" t="str">
        <f>H11</f>
        <v>                         Добровольский К.А.</v>
      </c>
    </row>
    <row r="702" ht="15.75">
      <c r="H702" s="6" t="s">
        <v>772</v>
      </c>
    </row>
    <row r="703" ht="15.75">
      <c r="H703" s="6" t="s">
        <v>567</v>
      </c>
    </row>
    <row r="704" ht="15.75">
      <c r="A704" s="362"/>
    </row>
    <row r="705" ht="15.75">
      <c r="A705" s="3" t="s">
        <v>210</v>
      </c>
    </row>
    <row r="706" spans="1:8" ht="18.75" customHeight="1">
      <c r="A706" s="623" t="s">
        <v>120</v>
      </c>
      <c r="B706" s="623"/>
      <c r="C706" s="623"/>
      <c r="D706" s="623"/>
      <c r="E706" s="623"/>
      <c r="F706" s="623"/>
      <c r="G706" s="623"/>
      <c r="H706" s="623"/>
    </row>
    <row r="707" spans="1:8" ht="15.75">
      <c r="A707" s="364"/>
      <c r="B707" s="364"/>
      <c r="C707" s="366"/>
      <c r="D707" s="366"/>
      <c r="E707" s="366"/>
      <c r="F707" s="366"/>
      <c r="G707" s="366"/>
      <c r="H707" s="366"/>
    </row>
    <row r="708" spans="1:8" ht="16.5" customHeight="1">
      <c r="A708" s="581" t="s">
        <v>121</v>
      </c>
      <c r="B708" s="559" t="s">
        <v>122</v>
      </c>
      <c r="C708" s="560" t="s">
        <v>123</v>
      </c>
      <c r="D708" s="560"/>
      <c r="E708" s="560"/>
      <c r="F708" s="560"/>
      <c r="G708" s="561" t="s">
        <v>124</v>
      </c>
      <c r="H708" s="581" t="s">
        <v>125</v>
      </c>
    </row>
    <row r="709" spans="1:8" ht="15.75">
      <c r="A709" s="581"/>
      <c r="B709" s="559"/>
      <c r="C709" s="560"/>
      <c r="D709" s="560"/>
      <c r="E709" s="560"/>
      <c r="F709" s="560"/>
      <c r="G709" s="561"/>
      <c r="H709" s="581"/>
    </row>
    <row r="710" spans="1:8" ht="31.5">
      <c r="A710" s="581"/>
      <c r="B710" s="559"/>
      <c r="C710" s="369" t="s">
        <v>126</v>
      </c>
      <c r="D710" s="369" t="s">
        <v>127</v>
      </c>
      <c r="E710" s="370" t="s">
        <v>126</v>
      </c>
      <c r="F710" s="371" t="s">
        <v>127</v>
      </c>
      <c r="G710" s="561"/>
      <c r="H710" s="581"/>
    </row>
    <row r="711" spans="1:8" ht="15.75">
      <c r="A711" s="367">
        <v>1</v>
      </c>
      <c r="B711" s="367">
        <v>2</v>
      </c>
      <c r="C711" s="372">
        <v>3</v>
      </c>
      <c r="D711" s="372">
        <v>4</v>
      </c>
      <c r="E711" s="373"/>
      <c r="F711" s="374"/>
      <c r="G711" s="368">
        <v>5</v>
      </c>
      <c r="H711" s="367">
        <v>6</v>
      </c>
    </row>
    <row r="712" spans="1:8" ht="18.75" customHeight="1">
      <c r="A712" s="375">
        <v>1</v>
      </c>
      <c r="B712" s="582" t="s">
        <v>128</v>
      </c>
      <c r="C712" s="582"/>
      <c r="D712" s="582"/>
      <c r="E712" s="582"/>
      <c r="F712" s="582"/>
      <c r="G712" s="582"/>
      <c r="H712" s="582"/>
    </row>
    <row r="713" spans="1:8" ht="15.75">
      <c r="A713" s="376" t="s">
        <v>594</v>
      </c>
      <c r="B713" s="377" t="s">
        <v>129</v>
      </c>
      <c r="C713" s="378" t="s">
        <v>26</v>
      </c>
      <c r="D713" s="378" t="s">
        <v>26</v>
      </c>
      <c r="E713" s="378" t="s">
        <v>26</v>
      </c>
      <c r="F713" s="378" t="s">
        <v>26</v>
      </c>
      <c r="G713" s="378" t="s">
        <v>26</v>
      </c>
      <c r="H713" s="379" t="s">
        <v>130</v>
      </c>
    </row>
    <row r="714" spans="1:8" ht="15.75">
      <c r="A714" s="376" t="s">
        <v>735</v>
      </c>
      <c r="B714" s="377" t="s">
        <v>131</v>
      </c>
      <c r="C714" s="378" t="s">
        <v>26</v>
      </c>
      <c r="D714" s="378" t="s">
        <v>26</v>
      </c>
      <c r="E714" s="378" t="s">
        <v>26</v>
      </c>
      <c r="F714" s="378" t="s">
        <v>26</v>
      </c>
      <c r="G714" s="378" t="s">
        <v>26</v>
      </c>
      <c r="H714" s="379" t="s">
        <v>130</v>
      </c>
    </row>
    <row r="715" spans="1:8" ht="31.5">
      <c r="A715" s="376" t="s">
        <v>737</v>
      </c>
      <c r="B715" s="381" t="s">
        <v>132</v>
      </c>
      <c r="C715" s="566" t="s">
        <v>82</v>
      </c>
      <c r="D715" s="566" t="s">
        <v>83</v>
      </c>
      <c r="E715" s="378" t="s">
        <v>26</v>
      </c>
      <c r="F715" s="378" t="s">
        <v>26</v>
      </c>
      <c r="G715" s="378" t="s">
        <v>26</v>
      </c>
      <c r="H715" s="379" t="s">
        <v>130</v>
      </c>
    </row>
    <row r="716" spans="1:8" ht="47.25">
      <c r="A716" s="376" t="s">
        <v>739</v>
      </c>
      <c r="B716" s="381" t="s">
        <v>133</v>
      </c>
      <c r="C716" s="566" t="s">
        <v>84</v>
      </c>
      <c r="D716" s="566" t="s">
        <v>85</v>
      </c>
      <c r="E716" s="378" t="s">
        <v>26</v>
      </c>
      <c r="F716" s="378" t="s">
        <v>26</v>
      </c>
      <c r="G716" s="378" t="s">
        <v>26</v>
      </c>
      <c r="H716" s="379" t="s">
        <v>130</v>
      </c>
    </row>
    <row r="717" spans="1:8" ht="15.75">
      <c r="A717" s="376" t="s">
        <v>852</v>
      </c>
      <c r="B717" s="382" t="s">
        <v>134</v>
      </c>
      <c r="C717" s="566" t="s">
        <v>86</v>
      </c>
      <c r="D717" s="566" t="s">
        <v>87</v>
      </c>
      <c r="E717" s="378" t="s">
        <v>26</v>
      </c>
      <c r="F717" s="378" t="s">
        <v>26</v>
      </c>
      <c r="G717" s="378" t="s">
        <v>26</v>
      </c>
      <c r="H717" s="379" t="s">
        <v>130</v>
      </c>
    </row>
    <row r="718" spans="1:8" ht="15.75">
      <c r="A718" s="376" t="s">
        <v>853</v>
      </c>
      <c r="B718" s="382" t="s">
        <v>135</v>
      </c>
      <c r="C718" s="566" t="s">
        <v>82</v>
      </c>
      <c r="D718" s="566" t="s">
        <v>174</v>
      </c>
      <c r="E718" s="378" t="s">
        <v>26</v>
      </c>
      <c r="F718" s="378" t="s">
        <v>26</v>
      </c>
      <c r="G718" s="378" t="s">
        <v>26</v>
      </c>
      <c r="H718" s="379" t="s">
        <v>130</v>
      </c>
    </row>
    <row r="719" spans="1:8" ht="18.75" customHeight="1">
      <c r="A719" s="376">
        <v>2</v>
      </c>
      <c r="B719" s="579" t="s">
        <v>136</v>
      </c>
      <c r="C719" s="579"/>
      <c r="D719" s="579"/>
      <c r="E719" s="579"/>
      <c r="F719" s="579"/>
      <c r="G719" s="579"/>
      <c r="H719" s="579"/>
    </row>
    <row r="720" spans="1:9" ht="31.5">
      <c r="A720" s="376" t="s">
        <v>743</v>
      </c>
      <c r="B720" s="381" t="s">
        <v>137</v>
      </c>
      <c r="C720" s="378" t="s">
        <v>138</v>
      </c>
      <c r="D720" s="378" t="s">
        <v>139</v>
      </c>
      <c r="E720" s="378" t="s">
        <v>26</v>
      </c>
      <c r="F720" s="378" t="s">
        <v>26</v>
      </c>
      <c r="G720" s="383">
        <v>0</v>
      </c>
      <c r="H720" s="379"/>
      <c r="I720" s="380"/>
    </row>
    <row r="721" spans="1:9" ht="47.25">
      <c r="A721" s="376" t="s">
        <v>746</v>
      </c>
      <c r="B721" s="381" t="s">
        <v>140</v>
      </c>
      <c r="C721" s="378" t="s">
        <v>26</v>
      </c>
      <c r="D721" s="378" t="s">
        <v>26</v>
      </c>
      <c r="E721" s="378" t="s">
        <v>26</v>
      </c>
      <c r="F721" s="378" t="s">
        <v>26</v>
      </c>
      <c r="G721" s="378" t="s">
        <v>26</v>
      </c>
      <c r="H721" s="379" t="s">
        <v>130</v>
      </c>
      <c r="I721" s="380"/>
    </row>
    <row r="722" spans="1:9" ht="31.5">
      <c r="A722" s="376" t="s">
        <v>141</v>
      </c>
      <c r="B722" s="381" t="s">
        <v>142</v>
      </c>
      <c r="C722" s="378" t="s">
        <v>26</v>
      </c>
      <c r="D722" s="378" t="s">
        <v>26</v>
      </c>
      <c r="E722" s="378" t="s">
        <v>26</v>
      </c>
      <c r="F722" s="378" t="s">
        <v>26</v>
      </c>
      <c r="G722" s="378" t="s">
        <v>26</v>
      </c>
      <c r="H722" s="379" t="s">
        <v>130</v>
      </c>
      <c r="I722" s="380"/>
    </row>
    <row r="723" spans="1:9" ht="18.75" customHeight="1">
      <c r="A723" s="376">
        <v>3</v>
      </c>
      <c r="B723" s="579" t="s">
        <v>143</v>
      </c>
      <c r="C723" s="579"/>
      <c r="D723" s="579"/>
      <c r="E723" s="579"/>
      <c r="F723" s="579"/>
      <c r="G723" s="579"/>
      <c r="H723" s="579"/>
      <c r="I723" s="380"/>
    </row>
    <row r="724" spans="1:9" ht="31.5">
      <c r="A724" s="376" t="s">
        <v>756</v>
      </c>
      <c r="B724" s="382" t="s">
        <v>144</v>
      </c>
      <c r="C724" s="378" t="s">
        <v>26</v>
      </c>
      <c r="D724" s="378" t="s">
        <v>26</v>
      </c>
      <c r="E724" s="378" t="s">
        <v>26</v>
      </c>
      <c r="F724" s="378" t="s">
        <v>26</v>
      </c>
      <c r="G724" s="378" t="s">
        <v>26</v>
      </c>
      <c r="H724" s="379" t="s">
        <v>130</v>
      </c>
      <c r="I724" s="380"/>
    </row>
    <row r="725" spans="1:9" ht="15.75">
      <c r="A725" s="376" t="s">
        <v>757</v>
      </c>
      <c r="B725" s="382" t="s">
        <v>145</v>
      </c>
      <c r="C725" s="378" t="s">
        <v>138</v>
      </c>
      <c r="D725" s="378" t="s">
        <v>146</v>
      </c>
      <c r="E725" s="378" t="s">
        <v>26</v>
      </c>
      <c r="F725" s="378" t="s">
        <v>26</v>
      </c>
      <c r="G725" s="383">
        <v>0</v>
      </c>
      <c r="H725" s="379"/>
      <c r="I725" s="380"/>
    </row>
    <row r="726" spans="1:9" ht="15.75">
      <c r="A726" s="376" t="s">
        <v>147</v>
      </c>
      <c r="B726" s="382" t="s">
        <v>148</v>
      </c>
      <c r="C726" s="378" t="s">
        <v>149</v>
      </c>
      <c r="D726" s="378" t="s">
        <v>150</v>
      </c>
      <c r="E726" s="378" t="s">
        <v>26</v>
      </c>
      <c r="F726" s="378" t="s">
        <v>26</v>
      </c>
      <c r="G726" s="383">
        <v>0</v>
      </c>
      <c r="H726" s="379"/>
      <c r="I726" s="380"/>
    </row>
    <row r="727" spans="1:9" ht="15.75">
      <c r="A727" s="376" t="s">
        <v>151</v>
      </c>
      <c r="B727" s="382" t="s">
        <v>152</v>
      </c>
      <c r="C727" s="378" t="s">
        <v>153</v>
      </c>
      <c r="D727" s="378" t="s">
        <v>154</v>
      </c>
      <c r="E727" s="378" t="s">
        <v>26</v>
      </c>
      <c r="F727" s="378" t="s">
        <v>26</v>
      </c>
      <c r="G727" s="383">
        <v>0</v>
      </c>
      <c r="H727" s="379"/>
      <c r="I727" s="380"/>
    </row>
    <row r="728" spans="1:9" ht="15.75">
      <c r="A728" s="376" t="s">
        <v>155</v>
      </c>
      <c r="B728" s="382" t="s">
        <v>156</v>
      </c>
      <c r="C728" s="378" t="s">
        <v>157</v>
      </c>
      <c r="D728" s="378" t="s">
        <v>158</v>
      </c>
      <c r="E728" s="378" t="s">
        <v>26</v>
      </c>
      <c r="F728" s="378" t="s">
        <v>26</v>
      </c>
      <c r="G728" s="383">
        <v>0</v>
      </c>
      <c r="H728" s="379"/>
      <c r="I728" s="380"/>
    </row>
    <row r="729" spans="1:8" ht="18.75" customHeight="1">
      <c r="A729" s="376">
        <v>4</v>
      </c>
      <c r="B729" s="579" t="s">
        <v>159</v>
      </c>
      <c r="C729" s="579"/>
      <c r="D729" s="579"/>
      <c r="E729" s="579"/>
      <c r="F729" s="579"/>
      <c r="G729" s="579"/>
      <c r="H729" s="579"/>
    </row>
    <row r="730" spans="1:8" ht="31.5">
      <c r="A730" s="376" t="s">
        <v>160</v>
      </c>
      <c r="B730" s="381" t="s">
        <v>161</v>
      </c>
      <c r="C730" s="378" t="s">
        <v>26</v>
      </c>
      <c r="D730" s="378" t="s">
        <v>26</v>
      </c>
      <c r="E730" s="378" t="s">
        <v>26</v>
      </c>
      <c r="F730" s="378" t="s">
        <v>26</v>
      </c>
      <c r="G730" s="378" t="s">
        <v>26</v>
      </c>
      <c r="H730" s="379" t="s">
        <v>130</v>
      </c>
    </row>
    <row r="731" spans="1:8" ht="47.25">
      <c r="A731" s="376" t="s">
        <v>162</v>
      </c>
      <c r="B731" s="381" t="s">
        <v>163</v>
      </c>
      <c r="C731" s="378" t="s">
        <v>26</v>
      </c>
      <c r="D731" s="378" t="s">
        <v>26</v>
      </c>
      <c r="E731" s="378" t="s">
        <v>26</v>
      </c>
      <c r="F731" s="378" t="s">
        <v>26</v>
      </c>
      <c r="G731" s="378" t="s">
        <v>26</v>
      </c>
      <c r="H731" s="379" t="s">
        <v>130</v>
      </c>
    </row>
    <row r="732" spans="1:8" ht="31.5">
      <c r="A732" s="376" t="s">
        <v>164</v>
      </c>
      <c r="B732" s="382" t="s">
        <v>165</v>
      </c>
      <c r="C732" s="378" t="s">
        <v>26</v>
      </c>
      <c r="D732" s="378" t="s">
        <v>26</v>
      </c>
      <c r="E732" s="378" t="s">
        <v>26</v>
      </c>
      <c r="F732" s="378" t="s">
        <v>26</v>
      </c>
      <c r="G732" s="378" t="s">
        <v>26</v>
      </c>
      <c r="H732" s="379" t="s">
        <v>130</v>
      </c>
    </row>
    <row r="733" spans="1:8" ht="31.5">
      <c r="A733" s="384" t="s">
        <v>166</v>
      </c>
      <c r="B733" s="385" t="s">
        <v>167</v>
      </c>
      <c r="C733" s="386" t="s">
        <v>26</v>
      </c>
      <c r="D733" s="386" t="s">
        <v>26</v>
      </c>
      <c r="E733" s="386" t="s">
        <v>26</v>
      </c>
      <c r="F733" s="386" t="s">
        <v>26</v>
      </c>
      <c r="G733" s="386" t="s">
        <v>26</v>
      </c>
      <c r="H733" s="387" t="s">
        <v>130</v>
      </c>
    </row>
    <row r="734" spans="1:8" ht="15.75">
      <c r="A734" s="388"/>
      <c r="B734" s="389"/>
      <c r="C734" s="390"/>
      <c r="D734" s="390"/>
      <c r="E734" s="390"/>
      <c r="F734" s="390"/>
      <c r="G734" s="390"/>
      <c r="H734" s="98"/>
    </row>
    <row r="735" spans="1:8" ht="18.75" customHeight="1">
      <c r="A735" s="580" t="s">
        <v>168</v>
      </c>
      <c r="B735" s="580"/>
      <c r="C735" s="580"/>
      <c r="D735" s="580"/>
      <c r="E735" s="580"/>
      <c r="F735" s="580"/>
      <c r="G735" s="580"/>
      <c r="H735" s="580"/>
    </row>
    <row r="736" spans="1:8" ht="15.75">
      <c r="A736" s="391"/>
      <c r="B736" s="391"/>
      <c r="C736" s="391"/>
      <c r="D736" s="391"/>
      <c r="E736" s="391"/>
      <c r="F736" s="391"/>
      <c r="G736" s="391"/>
      <c r="H736" s="391"/>
    </row>
    <row r="738" ht="15.75">
      <c r="H738" s="6" t="s">
        <v>113</v>
      </c>
    </row>
    <row r="739" ht="15.75">
      <c r="H739" s="6" t="s">
        <v>114</v>
      </c>
    </row>
    <row r="740" ht="15.75">
      <c r="H740" s="6" t="s">
        <v>115</v>
      </c>
    </row>
    <row r="741" ht="15.75">
      <c r="H741" s="6"/>
    </row>
    <row r="742" spans="1:8" ht="18.75" customHeight="1">
      <c r="A742" s="622" t="s">
        <v>116</v>
      </c>
      <c r="B742" s="622"/>
      <c r="C742" s="622"/>
      <c r="D742" s="622"/>
      <c r="E742" s="622"/>
      <c r="F742" s="622"/>
      <c r="G742" s="622"/>
      <c r="H742" s="622"/>
    </row>
    <row r="743" spans="1:8" ht="18.75" customHeight="1">
      <c r="A743" s="622" t="s">
        <v>117</v>
      </c>
      <c r="B743" s="622"/>
      <c r="C743" s="622"/>
      <c r="D743" s="622"/>
      <c r="E743" s="622"/>
      <c r="F743" s="622"/>
      <c r="G743" s="622"/>
      <c r="H743" s="622"/>
    </row>
    <row r="744" ht="15.75">
      <c r="H744" s="6" t="s">
        <v>562</v>
      </c>
    </row>
    <row r="745" ht="15.75">
      <c r="H745" s="6" t="s">
        <v>769</v>
      </c>
    </row>
    <row r="746" ht="15.75">
      <c r="H746" s="6" t="s">
        <v>770</v>
      </c>
    </row>
    <row r="747" ht="15.75">
      <c r="H747" s="361" t="str">
        <f>H11</f>
        <v>                         Добровольский К.А.</v>
      </c>
    </row>
    <row r="748" ht="15.75">
      <c r="H748" s="6" t="s">
        <v>772</v>
      </c>
    </row>
    <row r="749" ht="15.75">
      <c r="H749" s="6" t="s">
        <v>567</v>
      </c>
    </row>
    <row r="750" ht="15.75">
      <c r="A750" s="362"/>
    </row>
    <row r="751" ht="15.75">
      <c r="A751" s="3" t="s">
        <v>211</v>
      </c>
    </row>
    <row r="752" spans="1:8" ht="18.75" customHeight="1">
      <c r="A752" s="623" t="s">
        <v>120</v>
      </c>
      <c r="B752" s="623"/>
      <c r="C752" s="623"/>
      <c r="D752" s="623"/>
      <c r="E752" s="623"/>
      <c r="F752" s="623"/>
      <c r="G752" s="623"/>
      <c r="H752" s="623"/>
    </row>
    <row r="753" spans="1:8" ht="15.75">
      <c r="A753" s="364"/>
      <c r="B753" s="364"/>
      <c r="C753" s="366"/>
      <c r="D753" s="366"/>
      <c r="E753" s="366"/>
      <c r="F753" s="366"/>
      <c r="G753" s="366"/>
      <c r="H753" s="366"/>
    </row>
    <row r="754" spans="1:8" ht="16.5" customHeight="1">
      <c r="A754" s="581" t="s">
        <v>121</v>
      </c>
      <c r="B754" s="559" t="s">
        <v>122</v>
      </c>
      <c r="C754" s="560" t="s">
        <v>123</v>
      </c>
      <c r="D754" s="560"/>
      <c r="E754" s="560"/>
      <c r="F754" s="560"/>
      <c r="G754" s="561" t="s">
        <v>124</v>
      </c>
      <c r="H754" s="581" t="s">
        <v>125</v>
      </c>
    </row>
    <row r="755" spans="1:8" ht="15.75">
      <c r="A755" s="581"/>
      <c r="B755" s="559"/>
      <c r="C755" s="560"/>
      <c r="D755" s="560"/>
      <c r="E755" s="560"/>
      <c r="F755" s="560"/>
      <c r="G755" s="561"/>
      <c r="H755" s="581"/>
    </row>
    <row r="756" spans="1:8" ht="31.5">
      <c r="A756" s="581"/>
      <c r="B756" s="559"/>
      <c r="C756" s="369" t="s">
        <v>126</v>
      </c>
      <c r="D756" s="369" t="s">
        <v>127</v>
      </c>
      <c r="E756" s="370" t="s">
        <v>126</v>
      </c>
      <c r="F756" s="371" t="s">
        <v>127</v>
      </c>
      <c r="G756" s="561"/>
      <c r="H756" s="581"/>
    </row>
    <row r="757" spans="1:8" ht="15.75">
      <c r="A757" s="367">
        <v>1</v>
      </c>
      <c r="B757" s="367">
        <v>2</v>
      </c>
      <c r="C757" s="372">
        <v>3</v>
      </c>
      <c r="D757" s="372">
        <v>4</v>
      </c>
      <c r="E757" s="373"/>
      <c r="F757" s="374"/>
      <c r="G757" s="368">
        <v>5</v>
      </c>
      <c r="H757" s="367">
        <v>6</v>
      </c>
    </row>
    <row r="758" spans="1:8" ht="18.75" customHeight="1">
      <c r="A758" s="375">
        <v>1</v>
      </c>
      <c r="B758" s="582" t="s">
        <v>128</v>
      </c>
      <c r="C758" s="582"/>
      <c r="D758" s="582"/>
      <c r="E758" s="582"/>
      <c r="F758" s="582"/>
      <c r="G758" s="582"/>
      <c r="H758" s="582"/>
    </row>
    <row r="759" spans="1:8" ht="15.75">
      <c r="A759" s="376" t="s">
        <v>594</v>
      </c>
      <c r="B759" s="377" t="s">
        <v>129</v>
      </c>
      <c r="C759" s="378" t="s">
        <v>26</v>
      </c>
      <c r="D759" s="378" t="s">
        <v>26</v>
      </c>
      <c r="E759" s="378" t="s">
        <v>26</v>
      </c>
      <c r="F759" s="378" t="s">
        <v>26</v>
      </c>
      <c r="G759" s="378" t="s">
        <v>26</v>
      </c>
      <c r="H759" s="379" t="s">
        <v>130</v>
      </c>
    </row>
    <row r="760" spans="1:8" ht="15.75">
      <c r="A760" s="376" t="s">
        <v>735</v>
      </c>
      <c r="B760" s="377" t="s">
        <v>131</v>
      </c>
      <c r="C760" s="378" t="s">
        <v>26</v>
      </c>
      <c r="D760" s="378" t="s">
        <v>26</v>
      </c>
      <c r="E760" s="378" t="s">
        <v>26</v>
      </c>
      <c r="F760" s="378" t="s">
        <v>26</v>
      </c>
      <c r="G760" s="378" t="s">
        <v>26</v>
      </c>
      <c r="H760" s="379" t="s">
        <v>130</v>
      </c>
    </row>
    <row r="761" spans="1:11" ht="31.5">
      <c r="A761" s="376" t="s">
        <v>737</v>
      </c>
      <c r="B761" s="381" t="s">
        <v>132</v>
      </c>
      <c r="C761" s="378" t="s">
        <v>26</v>
      </c>
      <c r="D761" s="378" t="s">
        <v>26</v>
      </c>
      <c r="E761" s="378" t="s">
        <v>26</v>
      </c>
      <c r="F761" s="378" t="s">
        <v>26</v>
      </c>
      <c r="G761" s="378" t="s">
        <v>26</v>
      </c>
      <c r="H761" s="379" t="s">
        <v>130</v>
      </c>
      <c r="K761" s="392"/>
    </row>
    <row r="762" spans="1:8" ht="47.25">
      <c r="A762" s="376" t="s">
        <v>739</v>
      </c>
      <c r="B762" s="381" t="s">
        <v>133</v>
      </c>
      <c r="C762" s="378" t="s">
        <v>26</v>
      </c>
      <c r="D762" s="378" t="s">
        <v>26</v>
      </c>
      <c r="E762" s="378" t="s">
        <v>26</v>
      </c>
      <c r="F762" s="378" t="s">
        <v>26</v>
      </c>
      <c r="G762" s="378" t="s">
        <v>26</v>
      </c>
      <c r="H762" s="379" t="s">
        <v>130</v>
      </c>
    </row>
    <row r="763" spans="1:8" ht="15.75">
      <c r="A763" s="376" t="s">
        <v>852</v>
      </c>
      <c r="B763" s="382" t="s">
        <v>134</v>
      </c>
      <c r="C763" s="378" t="s">
        <v>26</v>
      </c>
      <c r="D763" s="378" t="s">
        <v>26</v>
      </c>
      <c r="E763" s="378" t="s">
        <v>26</v>
      </c>
      <c r="F763" s="378" t="s">
        <v>26</v>
      </c>
      <c r="G763" s="378" t="s">
        <v>26</v>
      </c>
      <c r="H763" s="379" t="s">
        <v>130</v>
      </c>
    </row>
    <row r="764" spans="1:8" ht="15.75">
      <c r="A764" s="376" t="s">
        <v>853</v>
      </c>
      <c r="B764" s="382" t="s">
        <v>135</v>
      </c>
      <c r="C764" s="378" t="s">
        <v>26</v>
      </c>
      <c r="D764" s="378" t="s">
        <v>26</v>
      </c>
      <c r="E764" s="378" t="s">
        <v>26</v>
      </c>
      <c r="F764" s="378" t="s">
        <v>26</v>
      </c>
      <c r="G764" s="378" t="s">
        <v>26</v>
      </c>
      <c r="H764" s="379" t="s">
        <v>130</v>
      </c>
    </row>
    <row r="765" spans="1:8" ht="18.75" customHeight="1">
      <c r="A765" s="376">
        <v>2</v>
      </c>
      <c r="B765" s="579" t="s">
        <v>136</v>
      </c>
      <c r="C765" s="579"/>
      <c r="D765" s="579"/>
      <c r="E765" s="579"/>
      <c r="F765" s="579"/>
      <c r="G765" s="579"/>
      <c r="H765" s="579"/>
    </row>
    <row r="766" spans="1:9" ht="31.5">
      <c r="A766" s="376" t="s">
        <v>743</v>
      </c>
      <c r="B766" s="381" t="s">
        <v>137</v>
      </c>
      <c r="C766" s="378" t="s">
        <v>149</v>
      </c>
      <c r="D766" s="378" t="s">
        <v>150</v>
      </c>
      <c r="E766" s="378" t="s">
        <v>26</v>
      </c>
      <c r="F766" s="378" t="s">
        <v>26</v>
      </c>
      <c r="G766" s="383">
        <v>0</v>
      </c>
      <c r="H766" s="379"/>
      <c r="I766" s="380"/>
    </row>
    <row r="767" spans="1:9" ht="47.25">
      <c r="A767" s="376" t="s">
        <v>746</v>
      </c>
      <c r="B767" s="381" t="s">
        <v>140</v>
      </c>
      <c r="C767" s="378" t="s">
        <v>26</v>
      </c>
      <c r="D767" s="378" t="s">
        <v>26</v>
      </c>
      <c r="E767" s="378" t="s">
        <v>26</v>
      </c>
      <c r="F767" s="378" t="s">
        <v>26</v>
      </c>
      <c r="G767" s="378" t="s">
        <v>26</v>
      </c>
      <c r="H767" s="379" t="s">
        <v>130</v>
      </c>
      <c r="I767" s="380"/>
    </row>
    <row r="768" spans="1:9" ht="31.5">
      <c r="A768" s="376" t="s">
        <v>141</v>
      </c>
      <c r="B768" s="381" t="s">
        <v>142</v>
      </c>
      <c r="C768" s="378" t="s">
        <v>26</v>
      </c>
      <c r="D768" s="378" t="s">
        <v>26</v>
      </c>
      <c r="E768" s="378" t="s">
        <v>26</v>
      </c>
      <c r="F768" s="378" t="s">
        <v>26</v>
      </c>
      <c r="G768" s="378" t="s">
        <v>26</v>
      </c>
      <c r="H768" s="379" t="s">
        <v>130</v>
      </c>
      <c r="I768" s="380"/>
    </row>
    <row r="769" spans="1:9" ht="18.75" customHeight="1">
      <c r="A769" s="376">
        <v>3</v>
      </c>
      <c r="B769" s="579" t="s">
        <v>143</v>
      </c>
      <c r="C769" s="579"/>
      <c r="D769" s="579"/>
      <c r="E769" s="579"/>
      <c r="F769" s="579"/>
      <c r="G769" s="579"/>
      <c r="H769" s="579"/>
      <c r="I769" s="380"/>
    </row>
    <row r="770" spans="1:9" ht="31.5">
      <c r="A770" s="376" t="s">
        <v>756</v>
      </c>
      <c r="B770" s="382" t="s">
        <v>144</v>
      </c>
      <c r="C770" s="378" t="s">
        <v>26</v>
      </c>
      <c r="D770" s="378" t="s">
        <v>26</v>
      </c>
      <c r="E770" s="378" t="s">
        <v>26</v>
      </c>
      <c r="F770" s="378" t="s">
        <v>26</v>
      </c>
      <c r="G770" s="378" t="s">
        <v>26</v>
      </c>
      <c r="H770" s="379" t="s">
        <v>130</v>
      </c>
      <c r="I770" s="380"/>
    </row>
    <row r="771" spans="1:9" ht="15.75">
      <c r="A771" s="376" t="s">
        <v>757</v>
      </c>
      <c r="B771" s="382" t="s">
        <v>145</v>
      </c>
      <c r="C771" s="378" t="s">
        <v>186</v>
      </c>
      <c r="D771" s="378" t="s">
        <v>198</v>
      </c>
      <c r="E771" s="378" t="s">
        <v>26</v>
      </c>
      <c r="F771" s="378" t="s">
        <v>26</v>
      </c>
      <c r="G771" s="383">
        <v>0</v>
      </c>
      <c r="H771" s="379"/>
      <c r="I771" s="380"/>
    </row>
    <row r="772" spans="1:9" ht="15.75">
      <c r="A772" s="376" t="s">
        <v>147</v>
      </c>
      <c r="B772" s="382" t="s">
        <v>148</v>
      </c>
      <c r="C772" s="378" t="s">
        <v>199</v>
      </c>
      <c r="D772" s="378" t="s">
        <v>198</v>
      </c>
      <c r="E772" s="378" t="s">
        <v>26</v>
      </c>
      <c r="F772" s="378" t="s">
        <v>26</v>
      </c>
      <c r="G772" s="383">
        <v>0</v>
      </c>
      <c r="H772" s="379"/>
      <c r="I772" s="380"/>
    </row>
    <row r="773" spans="1:9" ht="15.75">
      <c r="A773" s="376" t="s">
        <v>151</v>
      </c>
      <c r="B773" s="382" t="s">
        <v>152</v>
      </c>
      <c r="C773" s="378" t="s">
        <v>199</v>
      </c>
      <c r="D773" s="378" t="s">
        <v>200</v>
      </c>
      <c r="E773" s="378" t="s">
        <v>26</v>
      </c>
      <c r="F773" s="378" t="s">
        <v>26</v>
      </c>
      <c r="G773" s="383">
        <v>0</v>
      </c>
      <c r="H773" s="379"/>
      <c r="I773" s="380"/>
    </row>
    <row r="774" spans="1:9" ht="15.75">
      <c r="A774" s="376" t="s">
        <v>155</v>
      </c>
      <c r="B774" s="382" t="s">
        <v>156</v>
      </c>
      <c r="C774" s="378" t="s">
        <v>200</v>
      </c>
      <c r="D774" s="378" t="s">
        <v>189</v>
      </c>
      <c r="E774" s="378" t="s">
        <v>26</v>
      </c>
      <c r="F774" s="378" t="s">
        <v>26</v>
      </c>
      <c r="G774" s="383">
        <v>0</v>
      </c>
      <c r="H774" s="379"/>
      <c r="I774" s="380"/>
    </row>
    <row r="775" spans="1:8" ht="18.75" customHeight="1">
      <c r="A775" s="376">
        <v>4</v>
      </c>
      <c r="B775" s="579" t="s">
        <v>159</v>
      </c>
      <c r="C775" s="579"/>
      <c r="D775" s="579"/>
      <c r="E775" s="579"/>
      <c r="F775" s="579"/>
      <c r="G775" s="579"/>
      <c r="H775" s="579"/>
    </row>
    <row r="776" spans="1:8" ht="31.5">
      <c r="A776" s="376" t="s">
        <v>160</v>
      </c>
      <c r="B776" s="381" t="s">
        <v>161</v>
      </c>
      <c r="C776" s="378" t="s">
        <v>26</v>
      </c>
      <c r="D776" s="378" t="s">
        <v>26</v>
      </c>
      <c r="E776" s="378" t="s">
        <v>26</v>
      </c>
      <c r="F776" s="378" t="s">
        <v>26</v>
      </c>
      <c r="G776" s="378" t="s">
        <v>26</v>
      </c>
      <c r="H776" s="379" t="s">
        <v>130</v>
      </c>
    </row>
    <row r="777" spans="1:8" ht="47.25">
      <c r="A777" s="376" t="s">
        <v>162</v>
      </c>
      <c r="B777" s="381" t="s">
        <v>163</v>
      </c>
      <c r="C777" s="378" t="s">
        <v>26</v>
      </c>
      <c r="D777" s="378" t="s">
        <v>26</v>
      </c>
      <c r="E777" s="378" t="s">
        <v>26</v>
      </c>
      <c r="F777" s="378" t="s">
        <v>26</v>
      </c>
      <c r="G777" s="378" t="s">
        <v>26</v>
      </c>
      <c r="H777" s="379" t="s">
        <v>130</v>
      </c>
    </row>
    <row r="778" spans="1:8" ht="31.5">
      <c r="A778" s="376" t="s">
        <v>164</v>
      </c>
      <c r="B778" s="382" t="s">
        <v>165</v>
      </c>
      <c r="C778" s="378" t="s">
        <v>26</v>
      </c>
      <c r="D778" s="378" t="s">
        <v>26</v>
      </c>
      <c r="E778" s="378" t="s">
        <v>26</v>
      </c>
      <c r="F778" s="378" t="s">
        <v>26</v>
      </c>
      <c r="G778" s="378" t="s">
        <v>26</v>
      </c>
      <c r="H778" s="379" t="s">
        <v>130</v>
      </c>
    </row>
    <row r="779" spans="1:14" s="98" customFormat="1" ht="31.5">
      <c r="A779" s="384" t="s">
        <v>166</v>
      </c>
      <c r="B779" s="385" t="s">
        <v>167</v>
      </c>
      <c r="C779" s="386" t="s">
        <v>26</v>
      </c>
      <c r="D779" s="386" t="s">
        <v>26</v>
      </c>
      <c r="E779" s="386" t="s">
        <v>26</v>
      </c>
      <c r="F779" s="386" t="s">
        <v>26</v>
      </c>
      <c r="G779" s="386" t="s">
        <v>26</v>
      </c>
      <c r="H779" s="387" t="s">
        <v>130</v>
      </c>
      <c r="I779" s="8"/>
      <c r="J779" s="380"/>
      <c r="K779" s="380"/>
      <c r="L779" s="380"/>
      <c r="M779" s="380"/>
      <c r="N779" s="380"/>
    </row>
    <row r="780" spans="1:14" s="98" customFormat="1" ht="15.75">
      <c r="A780" s="388"/>
      <c r="B780" s="389"/>
      <c r="C780" s="390"/>
      <c r="D780" s="390"/>
      <c r="E780" s="390"/>
      <c r="F780" s="390"/>
      <c r="G780" s="390"/>
      <c r="I780" s="8"/>
      <c r="J780" s="380"/>
      <c r="K780" s="380"/>
      <c r="L780" s="380"/>
      <c r="M780" s="380"/>
      <c r="N780" s="380"/>
    </row>
    <row r="781" spans="1:14" s="98" customFormat="1" ht="18.75" customHeight="1">
      <c r="A781" s="580" t="s">
        <v>168</v>
      </c>
      <c r="B781" s="580"/>
      <c r="C781" s="580"/>
      <c r="D781" s="580"/>
      <c r="E781" s="580"/>
      <c r="F781" s="580"/>
      <c r="G781" s="580"/>
      <c r="H781" s="580"/>
      <c r="I781" s="8"/>
      <c r="J781" s="380"/>
      <c r="K781" s="380"/>
      <c r="L781" s="380"/>
      <c r="M781" s="380"/>
      <c r="N781" s="380"/>
    </row>
    <row r="782" spans="1:14" s="98" customFormat="1" ht="15.75">
      <c r="A782" s="3"/>
      <c r="B782" s="3"/>
      <c r="C782" s="3"/>
      <c r="D782" s="3"/>
      <c r="E782" s="3"/>
      <c r="F782" s="3"/>
      <c r="G782" s="3"/>
      <c r="H782" s="3"/>
      <c r="I782" s="8"/>
      <c r="J782" s="380"/>
      <c r="K782" s="380"/>
      <c r="L782" s="380"/>
      <c r="M782" s="380"/>
      <c r="N782" s="380"/>
    </row>
    <row r="783" spans="1:14" s="98" customFormat="1" ht="15.75">
      <c r="A783" s="3"/>
      <c r="B783" s="3"/>
      <c r="C783" s="3"/>
      <c r="D783" s="3"/>
      <c r="E783" s="3"/>
      <c r="F783" s="3"/>
      <c r="G783" s="3"/>
      <c r="H783" s="3"/>
      <c r="I783" s="8"/>
      <c r="J783" s="380"/>
      <c r="K783" s="380"/>
      <c r="L783" s="380"/>
      <c r="M783" s="380"/>
      <c r="N783" s="380"/>
    </row>
    <row r="784" spans="1:14" s="98" customFormat="1" ht="15.75">
      <c r="A784" s="3"/>
      <c r="B784" s="3"/>
      <c r="C784" s="3"/>
      <c r="D784" s="3"/>
      <c r="E784" s="3"/>
      <c r="F784" s="3"/>
      <c r="G784" s="3"/>
      <c r="H784" s="6" t="s">
        <v>113</v>
      </c>
      <c r="I784" s="8"/>
      <c r="J784" s="380"/>
      <c r="K784" s="380"/>
      <c r="L784" s="380"/>
      <c r="M784" s="380"/>
      <c r="N784" s="380"/>
    </row>
    <row r="785" spans="1:14" s="98" customFormat="1" ht="15.75">
      <c r="A785" s="3"/>
      <c r="B785" s="3"/>
      <c r="C785" s="3"/>
      <c r="D785" s="3"/>
      <c r="E785" s="3"/>
      <c r="F785" s="3"/>
      <c r="G785" s="3"/>
      <c r="H785" s="6" t="s">
        <v>114</v>
      </c>
      <c r="I785" s="8"/>
      <c r="J785" s="380"/>
      <c r="K785" s="380"/>
      <c r="L785" s="380"/>
      <c r="M785" s="380"/>
      <c r="N785" s="380"/>
    </row>
    <row r="786" spans="1:14" s="98" customFormat="1" ht="15.75">
      <c r="A786" s="3"/>
      <c r="B786" s="3"/>
      <c r="C786" s="3"/>
      <c r="D786" s="3"/>
      <c r="E786" s="3"/>
      <c r="F786" s="3"/>
      <c r="G786" s="3"/>
      <c r="H786" s="6" t="s">
        <v>115</v>
      </c>
      <c r="I786" s="8"/>
      <c r="J786" s="380"/>
      <c r="K786" s="380"/>
      <c r="L786" s="380"/>
      <c r="M786" s="380"/>
      <c r="N786" s="380"/>
    </row>
    <row r="787" spans="1:14" s="98" customFormat="1" ht="15.75">
      <c r="A787" s="3"/>
      <c r="B787" s="3"/>
      <c r="C787" s="3"/>
      <c r="D787" s="3"/>
      <c r="E787" s="3"/>
      <c r="F787" s="3"/>
      <c r="G787" s="3"/>
      <c r="H787" s="6"/>
      <c r="I787" s="8"/>
      <c r="J787" s="380"/>
      <c r="K787" s="380"/>
      <c r="L787" s="380"/>
      <c r="M787" s="380"/>
      <c r="N787" s="380"/>
    </row>
    <row r="788" spans="1:8" ht="18.75" customHeight="1">
      <c r="A788" s="622" t="s">
        <v>116</v>
      </c>
      <c r="B788" s="622"/>
      <c r="C788" s="622"/>
      <c r="D788" s="622"/>
      <c r="E788" s="622"/>
      <c r="F788" s="622"/>
      <c r="G788" s="622"/>
      <c r="H788" s="622"/>
    </row>
    <row r="789" spans="1:8" ht="18.75" customHeight="1">
      <c r="A789" s="622" t="s">
        <v>117</v>
      </c>
      <c r="B789" s="622"/>
      <c r="C789" s="622"/>
      <c r="D789" s="622"/>
      <c r="E789" s="622"/>
      <c r="F789" s="622"/>
      <c r="G789" s="622"/>
      <c r="H789" s="622"/>
    </row>
    <row r="790" ht="15.75">
      <c r="H790" s="6" t="s">
        <v>562</v>
      </c>
    </row>
    <row r="791" ht="15.75">
      <c r="H791" s="6" t="s">
        <v>769</v>
      </c>
    </row>
    <row r="792" ht="15.75">
      <c r="H792" s="6" t="s">
        <v>770</v>
      </c>
    </row>
    <row r="793" ht="15.75">
      <c r="H793" s="361" t="str">
        <f>H11</f>
        <v>                         Добровольский К.А.</v>
      </c>
    </row>
    <row r="794" ht="15.75">
      <c r="H794" s="6" t="s">
        <v>772</v>
      </c>
    </row>
    <row r="795" ht="15.75">
      <c r="H795" s="6" t="s">
        <v>567</v>
      </c>
    </row>
    <row r="796" ht="15.75">
      <c r="A796" s="362"/>
    </row>
    <row r="797" ht="15.75">
      <c r="A797" s="3" t="s">
        <v>212</v>
      </c>
    </row>
    <row r="798" spans="1:8" ht="18.75" customHeight="1">
      <c r="A798" s="623" t="s">
        <v>120</v>
      </c>
      <c r="B798" s="623"/>
      <c r="C798" s="623"/>
      <c r="D798" s="623"/>
      <c r="E798" s="623"/>
      <c r="F798" s="623"/>
      <c r="G798" s="623"/>
      <c r="H798" s="623"/>
    </row>
    <row r="799" spans="1:8" ht="15.75">
      <c r="A799" s="364"/>
      <c r="B799" s="364"/>
      <c r="C799" s="366"/>
      <c r="D799" s="366"/>
      <c r="E799" s="366"/>
      <c r="F799" s="366"/>
      <c r="G799" s="366"/>
      <c r="H799" s="366"/>
    </row>
    <row r="800" spans="1:8" ht="16.5" customHeight="1">
      <c r="A800" s="581" t="s">
        <v>121</v>
      </c>
      <c r="B800" s="559" t="s">
        <v>122</v>
      </c>
      <c r="C800" s="560" t="s">
        <v>123</v>
      </c>
      <c r="D800" s="560"/>
      <c r="E800" s="560"/>
      <c r="F800" s="560"/>
      <c r="G800" s="561" t="s">
        <v>124</v>
      </c>
      <c r="H800" s="581" t="s">
        <v>125</v>
      </c>
    </row>
    <row r="801" spans="1:8" ht="15.75">
      <c r="A801" s="581"/>
      <c r="B801" s="559"/>
      <c r="C801" s="560"/>
      <c r="D801" s="560"/>
      <c r="E801" s="560"/>
      <c r="F801" s="560"/>
      <c r="G801" s="561"/>
      <c r="H801" s="581"/>
    </row>
    <row r="802" spans="1:8" ht="31.5">
      <c r="A802" s="581"/>
      <c r="B802" s="559"/>
      <c r="C802" s="369" t="s">
        <v>126</v>
      </c>
      <c r="D802" s="369" t="s">
        <v>127</v>
      </c>
      <c r="E802" s="370" t="s">
        <v>126</v>
      </c>
      <c r="F802" s="371" t="s">
        <v>127</v>
      </c>
      <c r="G802" s="561"/>
      <c r="H802" s="581"/>
    </row>
    <row r="803" spans="1:8" ht="15.75">
      <c r="A803" s="367">
        <v>1</v>
      </c>
      <c r="B803" s="367">
        <v>2</v>
      </c>
      <c r="C803" s="372">
        <v>3</v>
      </c>
      <c r="D803" s="372">
        <v>4</v>
      </c>
      <c r="E803" s="373"/>
      <c r="F803" s="374"/>
      <c r="G803" s="368">
        <v>5</v>
      </c>
      <c r="H803" s="367">
        <v>6</v>
      </c>
    </row>
    <row r="804" spans="1:8" ht="18.75" customHeight="1">
      <c r="A804" s="375">
        <v>1</v>
      </c>
      <c r="B804" s="582" t="s">
        <v>128</v>
      </c>
      <c r="C804" s="582"/>
      <c r="D804" s="582"/>
      <c r="E804" s="582"/>
      <c r="F804" s="582"/>
      <c r="G804" s="582"/>
      <c r="H804" s="582"/>
    </row>
    <row r="805" spans="1:8" ht="15.75">
      <c r="A805" s="376" t="s">
        <v>594</v>
      </c>
      <c r="B805" s="377" t="s">
        <v>129</v>
      </c>
      <c r="C805" s="378" t="s">
        <v>26</v>
      </c>
      <c r="D805" s="378" t="s">
        <v>26</v>
      </c>
      <c r="E805" s="378" t="s">
        <v>26</v>
      </c>
      <c r="F805" s="378" t="s">
        <v>26</v>
      </c>
      <c r="G805" s="378" t="s">
        <v>26</v>
      </c>
      <c r="H805" s="379" t="s">
        <v>130</v>
      </c>
    </row>
    <row r="806" spans="1:8" ht="15.75">
      <c r="A806" s="376" t="s">
        <v>735</v>
      </c>
      <c r="B806" s="377" t="s">
        <v>131</v>
      </c>
      <c r="C806" s="378" t="s">
        <v>26</v>
      </c>
      <c r="D806" s="378" t="s">
        <v>26</v>
      </c>
      <c r="E806" s="378" t="s">
        <v>26</v>
      </c>
      <c r="F806" s="378" t="s">
        <v>26</v>
      </c>
      <c r="G806" s="378" t="s">
        <v>26</v>
      </c>
      <c r="H806" s="379" t="s">
        <v>130</v>
      </c>
    </row>
    <row r="807" spans="1:8" ht="31.5">
      <c r="A807" s="376" t="s">
        <v>737</v>
      </c>
      <c r="B807" s="381" t="s">
        <v>132</v>
      </c>
      <c r="C807" s="378" t="s">
        <v>26</v>
      </c>
      <c r="D807" s="378" t="s">
        <v>26</v>
      </c>
      <c r="E807" s="378" t="s">
        <v>26</v>
      </c>
      <c r="F807" s="378" t="s">
        <v>26</v>
      </c>
      <c r="G807" s="378" t="s">
        <v>26</v>
      </c>
      <c r="H807" s="379" t="s">
        <v>130</v>
      </c>
    </row>
    <row r="808" spans="1:8" ht="47.25">
      <c r="A808" s="376" t="s">
        <v>739</v>
      </c>
      <c r="B808" s="381" t="s">
        <v>133</v>
      </c>
      <c r="C808" s="378" t="s">
        <v>26</v>
      </c>
      <c r="D808" s="378" t="s">
        <v>26</v>
      </c>
      <c r="E808" s="378" t="s">
        <v>26</v>
      </c>
      <c r="F808" s="378" t="s">
        <v>26</v>
      </c>
      <c r="G808" s="378" t="s">
        <v>26</v>
      </c>
      <c r="H808" s="379" t="s">
        <v>130</v>
      </c>
    </row>
    <row r="809" spans="1:8" ht="15.75">
      <c r="A809" s="376" t="s">
        <v>852</v>
      </c>
      <c r="B809" s="382" t="s">
        <v>134</v>
      </c>
      <c r="C809" s="378" t="s">
        <v>26</v>
      </c>
      <c r="D809" s="378" t="s">
        <v>26</v>
      </c>
      <c r="E809" s="378" t="s">
        <v>26</v>
      </c>
      <c r="F809" s="378" t="s">
        <v>26</v>
      </c>
      <c r="G809" s="378" t="s">
        <v>26</v>
      </c>
      <c r="H809" s="379" t="s">
        <v>130</v>
      </c>
    </row>
    <row r="810" spans="1:8" ht="15.75">
      <c r="A810" s="376" t="s">
        <v>853</v>
      </c>
      <c r="B810" s="382" t="s">
        <v>135</v>
      </c>
      <c r="C810" s="378" t="s">
        <v>26</v>
      </c>
      <c r="D810" s="378" t="s">
        <v>26</v>
      </c>
      <c r="E810" s="378" t="s">
        <v>26</v>
      </c>
      <c r="F810" s="378" t="s">
        <v>26</v>
      </c>
      <c r="G810" s="378" t="s">
        <v>26</v>
      </c>
      <c r="H810" s="379" t="s">
        <v>130</v>
      </c>
    </row>
    <row r="811" spans="1:8" ht="18.75" customHeight="1">
      <c r="A811" s="376">
        <v>2</v>
      </c>
      <c r="B811" s="579" t="s">
        <v>136</v>
      </c>
      <c r="C811" s="579"/>
      <c r="D811" s="579"/>
      <c r="E811" s="579"/>
      <c r="F811" s="579"/>
      <c r="G811" s="579"/>
      <c r="H811" s="579"/>
    </row>
    <row r="812" spans="1:9" ht="31.5">
      <c r="A812" s="376" t="s">
        <v>743</v>
      </c>
      <c r="B812" s="381" t="s">
        <v>137</v>
      </c>
      <c r="C812" s="378" t="s">
        <v>149</v>
      </c>
      <c r="D812" s="378" t="s">
        <v>150</v>
      </c>
      <c r="E812" s="378" t="s">
        <v>26</v>
      </c>
      <c r="F812" s="378" t="s">
        <v>26</v>
      </c>
      <c r="G812" s="383">
        <v>0</v>
      </c>
      <c r="H812" s="379"/>
      <c r="I812" s="380"/>
    </row>
    <row r="813" spans="1:9" ht="47.25">
      <c r="A813" s="376" t="s">
        <v>746</v>
      </c>
      <c r="B813" s="381" t="s">
        <v>140</v>
      </c>
      <c r="C813" s="378" t="s">
        <v>26</v>
      </c>
      <c r="D813" s="378" t="s">
        <v>26</v>
      </c>
      <c r="E813" s="378" t="s">
        <v>26</v>
      </c>
      <c r="F813" s="378" t="s">
        <v>26</v>
      </c>
      <c r="G813" s="378" t="s">
        <v>26</v>
      </c>
      <c r="H813" s="379" t="s">
        <v>130</v>
      </c>
      <c r="I813" s="380"/>
    </row>
    <row r="814" spans="1:9" ht="31.5">
      <c r="A814" s="376" t="s">
        <v>141</v>
      </c>
      <c r="B814" s="381" t="s">
        <v>142</v>
      </c>
      <c r="C814" s="378" t="s">
        <v>26</v>
      </c>
      <c r="D814" s="378" t="s">
        <v>26</v>
      </c>
      <c r="E814" s="378" t="s">
        <v>26</v>
      </c>
      <c r="F814" s="378" t="s">
        <v>26</v>
      </c>
      <c r="G814" s="378" t="s">
        <v>26</v>
      </c>
      <c r="H814" s="379" t="s">
        <v>130</v>
      </c>
      <c r="I814" s="380"/>
    </row>
    <row r="815" spans="1:9" ht="18.75" customHeight="1">
      <c r="A815" s="376">
        <v>3</v>
      </c>
      <c r="B815" s="579" t="s">
        <v>143</v>
      </c>
      <c r="C815" s="579"/>
      <c r="D815" s="579"/>
      <c r="E815" s="579"/>
      <c r="F815" s="579"/>
      <c r="G815" s="579"/>
      <c r="H815" s="579"/>
      <c r="I815" s="380"/>
    </row>
    <row r="816" spans="1:9" ht="31.5">
      <c r="A816" s="376" t="s">
        <v>756</v>
      </c>
      <c r="B816" s="382" t="s">
        <v>144</v>
      </c>
      <c r="C816" s="378" t="s">
        <v>26</v>
      </c>
      <c r="D816" s="378" t="s">
        <v>26</v>
      </c>
      <c r="E816" s="378" t="s">
        <v>26</v>
      </c>
      <c r="F816" s="378" t="s">
        <v>26</v>
      </c>
      <c r="G816" s="378" t="s">
        <v>26</v>
      </c>
      <c r="H816" s="379" t="s">
        <v>130</v>
      </c>
      <c r="I816" s="380"/>
    </row>
    <row r="817" spans="1:9" ht="15.75">
      <c r="A817" s="376" t="s">
        <v>757</v>
      </c>
      <c r="B817" s="382" t="s">
        <v>145</v>
      </c>
      <c r="C817" s="378" t="s">
        <v>186</v>
      </c>
      <c r="D817" s="378" t="s">
        <v>198</v>
      </c>
      <c r="E817" s="378" t="s">
        <v>26</v>
      </c>
      <c r="F817" s="378" t="s">
        <v>26</v>
      </c>
      <c r="G817" s="383">
        <v>0</v>
      </c>
      <c r="H817" s="379"/>
      <c r="I817" s="380"/>
    </row>
    <row r="818" spans="1:9" ht="15.75">
      <c r="A818" s="376" t="s">
        <v>147</v>
      </c>
      <c r="B818" s="382" t="s">
        <v>148</v>
      </c>
      <c r="C818" s="378" t="s">
        <v>199</v>
      </c>
      <c r="D818" s="378" t="s">
        <v>198</v>
      </c>
      <c r="E818" s="378" t="s">
        <v>26</v>
      </c>
      <c r="F818" s="378" t="s">
        <v>26</v>
      </c>
      <c r="G818" s="383">
        <v>0</v>
      </c>
      <c r="H818" s="379"/>
      <c r="I818" s="380"/>
    </row>
    <row r="819" spans="1:9" ht="15.75">
      <c r="A819" s="376" t="s">
        <v>151</v>
      </c>
      <c r="B819" s="382" t="s">
        <v>152</v>
      </c>
      <c r="C819" s="378" t="s">
        <v>199</v>
      </c>
      <c r="D819" s="378" t="s">
        <v>200</v>
      </c>
      <c r="E819" s="378" t="s">
        <v>26</v>
      </c>
      <c r="F819" s="378" t="s">
        <v>26</v>
      </c>
      <c r="G819" s="383">
        <v>0</v>
      </c>
      <c r="H819" s="379"/>
      <c r="I819" s="380"/>
    </row>
    <row r="820" spans="1:9" ht="15.75">
      <c r="A820" s="376" t="s">
        <v>155</v>
      </c>
      <c r="B820" s="382" t="s">
        <v>156</v>
      </c>
      <c r="C820" s="378" t="s">
        <v>200</v>
      </c>
      <c r="D820" s="378" t="s">
        <v>189</v>
      </c>
      <c r="E820" s="378" t="s">
        <v>26</v>
      </c>
      <c r="F820" s="378" t="s">
        <v>26</v>
      </c>
      <c r="G820" s="383">
        <v>0</v>
      </c>
      <c r="H820" s="379"/>
      <c r="I820" s="380"/>
    </row>
    <row r="821" spans="1:8" ht="18.75" customHeight="1">
      <c r="A821" s="376">
        <v>4</v>
      </c>
      <c r="B821" s="579" t="s">
        <v>159</v>
      </c>
      <c r="C821" s="579"/>
      <c r="D821" s="579"/>
      <c r="E821" s="579"/>
      <c r="F821" s="579"/>
      <c r="G821" s="579"/>
      <c r="H821" s="579"/>
    </row>
    <row r="822" spans="1:8" ht="31.5">
      <c r="A822" s="376" t="s">
        <v>160</v>
      </c>
      <c r="B822" s="381" t="s">
        <v>161</v>
      </c>
      <c r="C822" s="378" t="s">
        <v>26</v>
      </c>
      <c r="D822" s="378" t="s">
        <v>26</v>
      </c>
      <c r="E822" s="378" t="s">
        <v>26</v>
      </c>
      <c r="F822" s="378" t="s">
        <v>26</v>
      </c>
      <c r="G822" s="378" t="s">
        <v>26</v>
      </c>
      <c r="H822" s="379" t="s">
        <v>130</v>
      </c>
    </row>
    <row r="823" spans="1:8" ht="47.25">
      <c r="A823" s="376" t="s">
        <v>162</v>
      </c>
      <c r="B823" s="381" t="s">
        <v>163</v>
      </c>
      <c r="C823" s="378" t="s">
        <v>26</v>
      </c>
      <c r="D823" s="378" t="s">
        <v>26</v>
      </c>
      <c r="E823" s="378" t="s">
        <v>26</v>
      </c>
      <c r="F823" s="378" t="s">
        <v>26</v>
      </c>
      <c r="G823" s="378" t="s">
        <v>26</v>
      </c>
      <c r="H823" s="379" t="s">
        <v>130</v>
      </c>
    </row>
    <row r="824" spans="1:8" ht="31.5">
      <c r="A824" s="376" t="s">
        <v>164</v>
      </c>
      <c r="B824" s="382" t="s">
        <v>165</v>
      </c>
      <c r="C824" s="378" t="s">
        <v>26</v>
      </c>
      <c r="D824" s="378" t="s">
        <v>26</v>
      </c>
      <c r="E824" s="378" t="s">
        <v>26</v>
      </c>
      <c r="F824" s="378" t="s">
        <v>26</v>
      </c>
      <c r="G824" s="378" t="s">
        <v>26</v>
      </c>
      <c r="H824" s="379" t="s">
        <v>130</v>
      </c>
    </row>
    <row r="825" spans="1:8" ht="31.5">
      <c r="A825" s="384" t="s">
        <v>166</v>
      </c>
      <c r="B825" s="385" t="s">
        <v>167</v>
      </c>
      <c r="C825" s="386" t="s">
        <v>26</v>
      </c>
      <c r="D825" s="386" t="s">
        <v>26</v>
      </c>
      <c r="E825" s="386" t="s">
        <v>26</v>
      </c>
      <c r="F825" s="386" t="s">
        <v>26</v>
      </c>
      <c r="G825" s="386" t="s">
        <v>26</v>
      </c>
      <c r="H825" s="387" t="s">
        <v>130</v>
      </c>
    </row>
    <row r="826" spans="1:8" ht="15.75">
      <c r="A826" s="388"/>
      <c r="B826" s="389"/>
      <c r="C826" s="390"/>
      <c r="D826" s="390"/>
      <c r="E826" s="390"/>
      <c r="F826" s="390"/>
      <c r="G826" s="390"/>
      <c r="H826" s="98"/>
    </row>
    <row r="827" spans="1:8" ht="18.75" customHeight="1">
      <c r="A827" s="580" t="s">
        <v>168</v>
      </c>
      <c r="B827" s="580"/>
      <c r="C827" s="580"/>
      <c r="D827" s="580"/>
      <c r="E827" s="580"/>
      <c r="F827" s="580"/>
      <c r="G827" s="580"/>
      <c r="H827" s="580"/>
    </row>
    <row r="828" spans="1:14" s="98" customFormat="1" ht="15.75">
      <c r="A828" s="3"/>
      <c r="B828" s="3"/>
      <c r="C828" s="3"/>
      <c r="D828" s="3"/>
      <c r="E828" s="3"/>
      <c r="F828" s="3"/>
      <c r="G828" s="3"/>
      <c r="H828" s="3"/>
      <c r="I828" s="8"/>
      <c r="J828" s="380"/>
      <c r="K828" s="380"/>
      <c r="L828" s="380"/>
      <c r="M828" s="380"/>
      <c r="N828" s="380"/>
    </row>
    <row r="829" spans="1:14" s="98" customFormat="1" ht="15.75">
      <c r="A829" s="3"/>
      <c r="B829" s="3"/>
      <c r="C829" s="3"/>
      <c r="D829" s="3"/>
      <c r="E829" s="3"/>
      <c r="F829" s="3"/>
      <c r="G829" s="3"/>
      <c r="H829" s="3"/>
      <c r="I829" s="8"/>
      <c r="J829" s="380"/>
      <c r="K829" s="380"/>
      <c r="L829" s="380"/>
      <c r="M829" s="380"/>
      <c r="N829" s="380"/>
    </row>
    <row r="830" spans="1:14" s="98" customFormat="1" ht="15.75">
      <c r="A830" s="3"/>
      <c r="B830" s="3"/>
      <c r="C830" s="3"/>
      <c r="D830" s="3"/>
      <c r="E830" s="3"/>
      <c r="F830" s="3"/>
      <c r="G830" s="3"/>
      <c r="H830" s="6" t="s">
        <v>113</v>
      </c>
      <c r="I830" s="8"/>
      <c r="J830" s="380"/>
      <c r="K830" s="380"/>
      <c r="L830" s="380"/>
      <c r="M830" s="380"/>
      <c r="N830" s="380"/>
    </row>
    <row r="831" spans="1:14" s="98" customFormat="1" ht="15.75">
      <c r="A831" s="3"/>
      <c r="B831" s="3"/>
      <c r="C831" s="3"/>
      <c r="D831" s="3"/>
      <c r="E831" s="3"/>
      <c r="F831" s="3"/>
      <c r="G831" s="3"/>
      <c r="H831" s="6" t="s">
        <v>114</v>
      </c>
      <c r="I831" s="8"/>
      <c r="J831" s="380"/>
      <c r="K831" s="380"/>
      <c r="L831" s="380"/>
      <c r="M831" s="380"/>
      <c r="N831" s="380"/>
    </row>
    <row r="832" spans="1:14" s="98" customFormat="1" ht="15.75">
      <c r="A832" s="3"/>
      <c r="B832" s="3"/>
      <c r="C832" s="3"/>
      <c r="D832" s="3"/>
      <c r="E832" s="3"/>
      <c r="F832" s="3"/>
      <c r="G832" s="3"/>
      <c r="H832" s="6" t="s">
        <v>115</v>
      </c>
      <c r="I832" s="8"/>
      <c r="J832" s="380"/>
      <c r="K832" s="380"/>
      <c r="L832" s="380"/>
      <c r="M832" s="380"/>
      <c r="N832" s="380"/>
    </row>
    <row r="833" spans="1:14" s="98" customFormat="1" ht="15.75">
      <c r="A833" s="3"/>
      <c r="B833" s="3"/>
      <c r="C833" s="3"/>
      <c r="D833" s="3"/>
      <c r="E833" s="3"/>
      <c r="F833" s="3"/>
      <c r="G833" s="3"/>
      <c r="H833" s="6"/>
      <c r="I833" s="8"/>
      <c r="J833" s="380"/>
      <c r="K833" s="380"/>
      <c r="L833" s="380"/>
      <c r="M833" s="380"/>
      <c r="N833" s="380"/>
    </row>
    <row r="834" spans="1:14" s="98" customFormat="1" ht="18.75" customHeight="1">
      <c r="A834" s="622" t="s">
        <v>116</v>
      </c>
      <c r="B834" s="622"/>
      <c r="C834" s="622"/>
      <c r="D834" s="622"/>
      <c r="E834" s="622"/>
      <c r="F834" s="622"/>
      <c r="G834" s="622"/>
      <c r="H834" s="622"/>
      <c r="I834" s="8"/>
      <c r="J834" s="380"/>
      <c r="K834" s="380"/>
      <c r="L834" s="380"/>
      <c r="M834" s="380"/>
      <c r="N834" s="380"/>
    </row>
    <row r="835" spans="1:14" s="98" customFormat="1" ht="18.75" customHeight="1">
      <c r="A835" s="622" t="s">
        <v>117</v>
      </c>
      <c r="B835" s="622"/>
      <c r="C835" s="622"/>
      <c r="D835" s="622"/>
      <c r="E835" s="622"/>
      <c r="F835" s="622"/>
      <c r="G835" s="622"/>
      <c r="H835" s="622"/>
      <c r="I835" s="8"/>
      <c r="J835" s="380"/>
      <c r="K835" s="380"/>
      <c r="L835" s="380"/>
      <c r="M835" s="380"/>
      <c r="N835" s="380"/>
    </row>
    <row r="836" spans="1:14" s="98" customFormat="1" ht="15.75">
      <c r="A836" s="3"/>
      <c r="B836" s="3"/>
      <c r="C836" s="3"/>
      <c r="D836" s="3"/>
      <c r="E836" s="3"/>
      <c r="F836" s="3"/>
      <c r="G836" s="3"/>
      <c r="H836" s="6" t="s">
        <v>562</v>
      </c>
      <c r="I836" s="8"/>
      <c r="J836" s="380"/>
      <c r="K836" s="380"/>
      <c r="L836" s="380"/>
      <c r="M836" s="380"/>
      <c r="N836" s="380"/>
    </row>
    <row r="837" ht="15.75">
      <c r="H837" s="6" t="s">
        <v>769</v>
      </c>
    </row>
    <row r="838" ht="15.75">
      <c r="H838" s="6" t="s">
        <v>770</v>
      </c>
    </row>
    <row r="839" ht="15.75">
      <c r="H839" s="361" t="str">
        <f>H11</f>
        <v>                         Добровольский К.А.</v>
      </c>
    </row>
    <row r="840" ht="15.75">
      <c r="H840" s="6" t="s">
        <v>772</v>
      </c>
    </row>
    <row r="841" ht="15.75">
      <c r="H841" s="6" t="s">
        <v>567</v>
      </c>
    </row>
    <row r="842" ht="15.75">
      <c r="A842" s="362"/>
    </row>
    <row r="843" ht="15.75">
      <c r="A843" s="3" t="s">
        <v>220</v>
      </c>
    </row>
    <row r="844" spans="1:8" ht="18.75" customHeight="1">
      <c r="A844" s="623" t="s">
        <v>120</v>
      </c>
      <c r="B844" s="623"/>
      <c r="C844" s="623"/>
      <c r="D844" s="623"/>
      <c r="E844" s="623"/>
      <c r="F844" s="623"/>
      <c r="G844" s="623"/>
      <c r="H844" s="623"/>
    </row>
    <row r="845" spans="1:8" ht="15.75">
      <c r="A845" s="364"/>
      <c r="B845" s="364"/>
      <c r="C845" s="366"/>
      <c r="D845" s="366"/>
      <c r="E845" s="366"/>
      <c r="F845" s="366"/>
      <c r="G845" s="366"/>
      <c r="H845" s="366"/>
    </row>
    <row r="846" spans="1:8" ht="16.5" customHeight="1">
      <c r="A846" s="581" t="s">
        <v>121</v>
      </c>
      <c r="B846" s="559" t="s">
        <v>122</v>
      </c>
      <c r="C846" s="560" t="s">
        <v>123</v>
      </c>
      <c r="D846" s="560"/>
      <c r="E846" s="560"/>
      <c r="F846" s="560"/>
      <c r="G846" s="561" t="s">
        <v>124</v>
      </c>
      <c r="H846" s="581" t="s">
        <v>125</v>
      </c>
    </row>
    <row r="847" spans="1:8" ht="15.75">
      <c r="A847" s="581"/>
      <c r="B847" s="559"/>
      <c r="C847" s="560"/>
      <c r="D847" s="560"/>
      <c r="E847" s="560"/>
      <c r="F847" s="560"/>
      <c r="G847" s="561"/>
      <c r="H847" s="581"/>
    </row>
    <row r="848" spans="1:8" ht="31.5">
      <c r="A848" s="581"/>
      <c r="B848" s="559"/>
      <c r="C848" s="369" t="s">
        <v>126</v>
      </c>
      <c r="D848" s="369" t="s">
        <v>127</v>
      </c>
      <c r="E848" s="370" t="s">
        <v>126</v>
      </c>
      <c r="F848" s="371" t="s">
        <v>127</v>
      </c>
      <c r="G848" s="561"/>
      <c r="H848" s="581"/>
    </row>
    <row r="849" spans="1:8" ht="15.75">
      <c r="A849" s="367">
        <v>1</v>
      </c>
      <c r="B849" s="367">
        <v>2</v>
      </c>
      <c r="C849" s="372">
        <v>3</v>
      </c>
      <c r="D849" s="372">
        <v>4</v>
      </c>
      <c r="E849" s="373"/>
      <c r="F849" s="374"/>
      <c r="G849" s="368">
        <v>5</v>
      </c>
      <c r="H849" s="367">
        <v>6</v>
      </c>
    </row>
    <row r="850" spans="1:8" ht="18.75" customHeight="1">
      <c r="A850" s="375">
        <v>1</v>
      </c>
      <c r="B850" s="582" t="s">
        <v>128</v>
      </c>
      <c r="C850" s="582"/>
      <c r="D850" s="582"/>
      <c r="E850" s="582"/>
      <c r="F850" s="582"/>
      <c r="G850" s="582"/>
      <c r="H850" s="582"/>
    </row>
    <row r="851" spans="1:8" ht="15.75">
      <c r="A851" s="376" t="s">
        <v>594</v>
      </c>
      <c r="B851" s="377" t="s">
        <v>129</v>
      </c>
      <c r="C851" s="378" t="s">
        <v>26</v>
      </c>
      <c r="D851" s="378" t="s">
        <v>26</v>
      </c>
      <c r="E851" s="378" t="s">
        <v>26</v>
      </c>
      <c r="F851" s="378" t="s">
        <v>26</v>
      </c>
      <c r="G851" s="378" t="s">
        <v>26</v>
      </c>
      <c r="H851" s="379" t="s">
        <v>130</v>
      </c>
    </row>
    <row r="852" spans="1:8" ht="15.75">
      <c r="A852" s="376" t="s">
        <v>735</v>
      </c>
      <c r="B852" s="377" t="s">
        <v>131</v>
      </c>
      <c r="C852" s="378" t="s">
        <v>26</v>
      </c>
      <c r="D852" s="378" t="s">
        <v>26</v>
      </c>
      <c r="E852" s="378" t="s">
        <v>26</v>
      </c>
      <c r="F852" s="378" t="s">
        <v>26</v>
      </c>
      <c r="G852" s="378" t="s">
        <v>26</v>
      </c>
      <c r="H852" s="379" t="s">
        <v>130</v>
      </c>
    </row>
    <row r="853" spans="1:8" ht="31.5">
      <c r="A853" s="376" t="s">
        <v>737</v>
      </c>
      <c r="B853" s="381" t="s">
        <v>132</v>
      </c>
      <c r="C853" s="378" t="s">
        <v>26</v>
      </c>
      <c r="D853" s="378" t="s">
        <v>26</v>
      </c>
      <c r="E853" s="378" t="s">
        <v>26</v>
      </c>
      <c r="F853" s="378" t="s">
        <v>26</v>
      </c>
      <c r="G853" s="378" t="s">
        <v>26</v>
      </c>
      <c r="H853" s="379" t="s">
        <v>130</v>
      </c>
    </row>
    <row r="854" spans="1:8" ht="47.25">
      <c r="A854" s="376" t="s">
        <v>739</v>
      </c>
      <c r="B854" s="381" t="s">
        <v>133</v>
      </c>
      <c r="C854" s="378" t="s">
        <v>26</v>
      </c>
      <c r="D854" s="378" t="s">
        <v>26</v>
      </c>
      <c r="E854" s="378" t="s">
        <v>26</v>
      </c>
      <c r="F854" s="378" t="s">
        <v>26</v>
      </c>
      <c r="G854" s="378" t="s">
        <v>26</v>
      </c>
      <c r="H854" s="379" t="s">
        <v>130</v>
      </c>
    </row>
    <row r="855" spans="1:8" ht="15.75">
      <c r="A855" s="376" t="s">
        <v>852</v>
      </c>
      <c r="B855" s="382" t="s">
        <v>134</v>
      </c>
      <c r="C855" s="378" t="s">
        <v>26</v>
      </c>
      <c r="D855" s="378" t="s">
        <v>26</v>
      </c>
      <c r="E855" s="378" t="s">
        <v>26</v>
      </c>
      <c r="F855" s="378" t="s">
        <v>26</v>
      </c>
      <c r="G855" s="378" t="s">
        <v>26</v>
      </c>
      <c r="H855" s="379" t="s">
        <v>130</v>
      </c>
    </row>
    <row r="856" spans="1:8" ht="15.75">
      <c r="A856" s="376" t="s">
        <v>853</v>
      </c>
      <c r="B856" s="382" t="s">
        <v>135</v>
      </c>
      <c r="C856" s="378" t="s">
        <v>26</v>
      </c>
      <c r="D856" s="378" t="s">
        <v>26</v>
      </c>
      <c r="E856" s="378" t="s">
        <v>26</v>
      </c>
      <c r="F856" s="378" t="s">
        <v>26</v>
      </c>
      <c r="G856" s="378" t="s">
        <v>26</v>
      </c>
      <c r="H856" s="379" t="s">
        <v>130</v>
      </c>
    </row>
    <row r="857" spans="1:8" ht="18.75" customHeight="1">
      <c r="A857" s="376">
        <v>2</v>
      </c>
      <c r="B857" s="579" t="s">
        <v>136</v>
      </c>
      <c r="C857" s="579"/>
      <c r="D857" s="579"/>
      <c r="E857" s="579"/>
      <c r="F857" s="579"/>
      <c r="G857" s="579"/>
      <c r="H857" s="579"/>
    </row>
    <row r="858" spans="1:9" ht="31.5">
      <c r="A858" s="376" t="s">
        <v>743</v>
      </c>
      <c r="B858" s="381" t="s">
        <v>137</v>
      </c>
      <c r="C858" s="378" t="s">
        <v>149</v>
      </c>
      <c r="D858" s="378" t="s">
        <v>150</v>
      </c>
      <c r="E858" s="378" t="s">
        <v>26</v>
      </c>
      <c r="F858" s="378" t="s">
        <v>26</v>
      </c>
      <c r="G858" s="383">
        <v>0</v>
      </c>
      <c r="H858" s="379"/>
      <c r="I858" s="380"/>
    </row>
    <row r="859" spans="1:9" ht="47.25">
      <c r="A859" s="376" t="s">
        <v>746</v>
      </c>
      <c r="B859" s="381" t="s">
        <v>140</v>
      </c>
      <c r="C859" s="378" t="s">
        <v>26</v>
      </c>
      <c r="D859" s="378" t="s">
        <v>26</v>
      </c>
      <c r="E859" s="378" t="s">
        <v>26</v>
      </c>
      <c r="F859" s="378" t="s">
        <v>26</v>
      </c>
      <c r="G859" s="378" t="s">
        <v>26</v>
      </c>
      <c r="H859" s="379" t="s">
        <v>130</v>
      </c>
      <c r="I859" s="380"/>
    </row>
    <row r="860" spans="1:9" ht="31.5">
      <c r="A860" s="376" t="s">
        <v>141</v>
      </c>
      <c r="B860" s="381" t="s">
        <v>142</v>
      </c>
      <c r="C860" s="378" t="s">
        <v>26</v>
      </c>
      <c r="D860" s="378" t="s">
        <v>26</v>
      </c>
      <c r="E860" s="378" t="s">
        <v>26</v>
      </c>
      <c r="F860" s="378" t="s">
        <v>26</v>
      </c>
      <c r="G860" s="378" t="s">
        <v>26</v>
      </c>
      <c r="H860" s="379" t="s">
        <v>130</v>
      </c>
      <c r="I860" s="380"/>
    </row>
    <row r="861" spans="1:9" ht="18.75" customHeight="1">
      <c r="A861" s="376">
        <v>3</v>
      </c>
      <c r="B861" s="579" t="s">
        <v>143</v>
      </c>
      <c r="C861" s="579"/>
      <c r="D861" s="579"/>
      <c r="E861" s="579"/>
      <c r="F861" s="579"/>
      <c r="G861" s="579"/>
      <c r="H861" s="579"/>
      <c r="I861" s="380"/>
    </row>
    <row r="862" spans="1:9" ht="31.5">
      <c r="A862" s="376" t="s">
        <v>756</v>
      </c>
      <c r="B862" s="382" t="s">
        <v>144</v>
      </c>
      <c r="C862" s="378" t="s">
        <v>26</v>
      </c>
      <c r="D862" s="378" t="s">
        <v>26</v>
      </c>
      <c r="E862" s="378" t="s">
        <v>26</v>
      </c>
      <c r="F862" s="378" t="s">
        <v>26</v>
      </c>
      <c r="G862" s="378" t="s">
        <v>26</v>
      </c>
      <c r="H862" s="379" t="s">
        <v>130</v>
      </c>
      <c r="I862" s="380"/>
    </row>
    <row r="863" spans="1:9" ht="15.75">
      <c r="A863" s="376" t="s">
        <v>757</v>
      </c>
      <c r="B863" s="382" t="s">
        <v>145</v>
      </c>
      <c r="C863" s="378" t="s">
        <v>186</v>
      </c>
      <c r="D863" s="378" t="s">
        <v>198</v>
      </c>
      <c r="E863" s="378" t="s">
        <v>26</v>
      </c>
      <c r="F863" s="378" t="s">
        <v>26</v>
      </c>
      <c r="G863" s="383">
        <v>0</v>
      </c>
      <c r="H863" s="379"/>
      <c r="I863" s="380"/>
    </row>
    <row r="864" spans="1:9" ht="15.75">
      <c r="A864" s="376" t="s">
        <v>147</v>
      </c>
      <c r="B864" s="382" t="s">
        <v>148</v>
      </c>
      <c r="C864" s="378" t="s">
        <v>199</v>
      </c>
      <c r="D864" s="378" t="s">
        <v>198</v>
      </c>
      <c r="E864" s="378" t="s">
        <v>26</v>
      </c>
      <c r="F864" s="378" t="s">
        <v>26</v>
      </c>
      <c r="G864" s="383">
        <v>0</v>
      </c>
      <c r="H864" s="379"/>
      <c r="I864" s="380"/>
    </row>
    <row r="865" spans="1:9" ht="15.75">
      <c r="A865" s="376" t="s">
        <v>151</v>
      </c>
      <c r="B865" s="382" t="s">
        <v>152</v>
      </c>
      <c r="C865" s="378" t="s">
        <v>199</v>
      </c>
      <c r="D865" s="378" t="s">
        <v>200</v>
      </c>
      <c r="E865" s="378" t="s">
        <v>26</v>
      </c>
      <c r="F865" s="378" t="s">
        <v>26</v>
      </c>
      <c r="G865" s="383">
        <v>0</v>
      </c>
      <c r="H865" s="379"/>
      <c r="I865" s="380"/>
    </row>
    <row r="866" spans="1:9" ht="15.75">
      <c r="A866" s="376" t="s">
        <v>155</v>
      </c>
      <c r="B866" s="382" t="s">
        <v>156</v>
      </c>
      <c r="C866" s="378" t="s">
        <v>200</v>
      </c>
      <c r="D866" s="378" t="s">
        <v>189</v>
      </c>
      <c r="E866" s="378" t="s">
        <v>26</v>
      </c>
      <c r="F866" s="378" t="s">
        <v>26</v>
      </c>
      <c r="G866" s="383">
        <v>0</v>
      </c>
      <c r="H866" s="379"/>
      <c r="I866" s="380"/>
    </row>
    <row r="867" spans="1:8" ht="18.75" customHeight="1">
      <c r="A867" s="376">
        <v>4</v>
      </c>
      <c r="B867" s="579" t="s">
        <v>159</v>
      </c>
      <c r="C867" s="579"/>
      <c r="D867" s="579"/>
      <c r="E867" s="579"/>
      <c r="F867" s="579"/>
      <c r="G867" s="579"/>
      <c r="H867" s="579"/>
    </row>
    <row r="868" spans="1:8" ht="31.5">
      <c r="A868" s="376" t="s">
        <v>160</v>
      </c>
      <c r="B868" s="381" t="s">
        <v>161</v>
      </c>
      <c r="C868" s="378" t="s">
        <v>26</v>
      </c>
      <c r="D868" s="378" t="s">
        <v>26</v>
      </c>
      <c r="E868" s="378" t="s">
        <v>26</v>
      </c>
      <c r="F868" s="378" t="s">
        <v>26</v>
      </c>
      <c r="G868" s="378" t="s">
        <v>26</v>
      </c>
      <c r="H868" s="379" t="s">
        <v>130</v>
      </c>
    </row>
    <row r="869" spans="1:8" ht="47.25">
      <c r="A869" s="376" t="s">
        <v>162</v>
      </c>
      <c r="B869" s="381" t="s">
        <v>163</v>
      </c>
      <c r="C869" s="378" t="s">
        <v>26</v>
      </c>
      <c r="D869" s="378" t="s">
        <v>26</v>
      </c>
      <c r="E869" s="378" t="s">
        <v>26</v>
      </c>
      <c r="F869" s="378" t="s">
        <v>26</v>
      </c>
      <c r="G869" s="378" t="s">
        <v>26</v>
      </c>
      <c r="H869" s="379" t="s">
        <v>130</v>
      </c>
    </row>
    <row r="870" spans="1:8" ht="31.5">
      <c r="A870" s="376" t="s">
        <v>164</v>
      </c>
      <c r="B870" s="382" t="s">
        <v>165</v>
      </c>
      <c r="C870" s="378" t="s">
        <v>26</v>
      </c>
      <c r="D870" s="378" t="s">
        <v>26</v>
      </c>
      <c r="E870" s="378" t="s">
        <v>26</v>
      </c>
      <c r="F870" s="378" t="s">
        <v>26</v>
      </c>
      <c r="G870" s="378" t="s">
        <v>26</v>
      </c>
      <c r="H870" s="379" t="s">
        <v>130</v>
      </c>
    </row>
    <row r="871" spans="1:8" ht="31.5">
      <c r="A871" s="384" t="s">
        <v>166</v>
      </c>
      <c r="B871" s="385" t="s">
        <v>167</v>
      </c>
      <c r="C871" s="386" t="s">
        <v>26</v>
      </c>
      <c r="D871" s="386" t="s">
        <v>26</v>
      </c>
      <c r="E871" s="386" t="s">
        <v>26</v>
      </c>
      <c r="F871" s="386" t="s">
        <v>26</v>
      </c>
      <c r="G871" s="386" t="s">
        <v>26</v>
      </c>
      <c r="H871" s="387" t="s">
        <v>130</v>
      </c>
    </row>
    <row r="872" spans="1:8" ht="15.75">
      <c r="A872" s="388"/>
      <c r="B872" s="389"/>
      <c r="C872" s="390"/>
      <c r="D872" s="390"/>
      <c r="E872" s="390"/>
      <c r="F872" s="390"/>
      <c r="G872" s="390"/>
      <c r="H872" s="98"/>
    </row>
    <row r="873" spans="1:8" ht="18.75" customHeight="1">
      <c r="A873" s="580" t="s">
        <v>168</v>
      </c>
      <c r="B873" s="580"/>
      <c r="C873" s="580"/>
      <c r="D873" s="580"/>
      <c r="E873" s="580"/>
      <c r="F873" s="580"/>
      <c r="G873" s="580"/>
      <c r="H873" s="580"/>
    </row>
    <row r="876" ht="15.75">
      <c r="H876" s="6" t="s">
        <v>113</v>
      </c>
    </row>
    <row r="877" spans="1:14" s="98" customFormat="1" ht="15.75">
      <c r="A877" s="3"/>
      <c r="B877" s="3"/>
      <c r="C877" s="3"/>
      <c r="D877" s="3"/>
      <c r="E877" s="3"/>
      <c r="F877" s="3"/>
      <c r="G877" s="3"/>
      <c r="H877" s="6" t="s">
        <v>114</v>
      </c>
      <c r="I877" s="8"/>
      <c r="J877" s="380"/>
      <c r="K877" s="380"/>
      <c r="L877" s="380"/>
      <c r="M877" s="380"/>
      <c r="N877" s="380"/>
    </row>
    <row r="878" spans="1:14" s="98" customFormat="1" ht="15.75">
      <c r="A878" s="3"/>
      <c r="B878" s="3"/>
      <c r="C878" s="3"/>
      <c r="D878" s="3"/>
      <c r="E878" s="3"/>
      <c r="F878" s="3"/>
      <c r="G878" s="3"/>
      <c r="H878" s="6" t="s">
        <v>115</v>
      </c>
      <c r="I878" s="8"/>
      <c r="J878" s="380"/>
      <c r="K878" s="380"/>
      <c r="L878" s="380"/>
      <c r="M878" s="380"/>
      <c r="N878" s="380"/>
    </row>
    <row r="879" spans="1:14" s="98" customFormat="1" ht="15.75">
      <c r="A879" s="3"/>
      <c r="B879" s="3"/>
      <c r="C879" s="3"/>
      <c r="D879" s="3"/>
      <c r="E879" s="3"/>
      <c r="F879" s="3"/>
      <c r="G879" s="3"/>
      <c r="H879" s="6"/>
      <c r="I879" s="8"/>
      <c r="J879" s="380"/>
      <c r="K879" s="380"/>
      <c r="L879" s="380"/>
      <c r="M879" s="380"/>
      <c r="N879" s="380"/>
    </row>
    <row r="880" spans="1:14" s="98" customFormat="1" ht="18.75" customHeight="1">
      <c r="A880" s="622" t="s">
        <v>116</v>
      </c>
      <c r="B880" s="622"/>
      <c r="C880" s="622"/>
      <c r="D880" s="622"/>
      <c r="E880" s="622"/>
      <c r="F880" s="622"/>
      <c r="G880" s="622"/>
      <c r="H880" s="622"/>
      <c r="I880" s="8"/>
      <c r="J880" s="380"/>
      <c r="K880" s="380"/>
      <c r="L880" s="380"/>
      <c r="M880" s="380"/>
      <c r="N880" s="380"/>
    </row>
    <row r="881" spans="1:14" s="98" customFormat="1" ht="18.75" customHeight="1">
      <c r="A881" s="622" t="s">
        <v>117</v>
      </c>
      <c r="B881" s="622"/>
      <c r="C881" s="622"/>
      <c r="D881" s="622"/>
      <c r="E881" s="622"/>
      <c r="F881" s="622"/>
      <c r="G881" s="622"/>
      <c r="H881" s="622"/>
      <c r="I881" s="8"/>
      <c r="J881" s="380"/>
      <c r="K881" s="380"/>
      <c r="L881" s="380"/>
      <c r="M881" s="380"/>
      <c r="N881" s="380"/>
    </row>
    <row r="882" spans="1:14" s="98" customFormat="1" ht="15.75">
      <c r="A882" s="3"/>
      <c r="B882" s="3"/>
      <c r="C882" s="3"/>
      <c r="D882" s="3"/>
      <c r="E882" s="3"/>
      <c r="F882" s="3"/>
      <c r="G882" s="3"/>
      <c r="H882" s="6" t="s">
        <v>562</v>
      </c>
      <c r="I882" s="8"/>
      <c r="J882" s="380"/>
      <c r="K882" s="380"/>
      <c r="L882" s="380"/>
      <c r="M882" s="380"/>
      <c r="N882" s="380"/>
    </row>
    <row r="883" spans="1:14" s="98" customFormat="1" ht="15.75">
      <c r="A883" s="3"/>
      <c r="B883" s="3"/>
      <c r="C883" s="3"/>
      <c r="D883" s="3"/>
      <c r="E883" s="3"/>
      <c r="F883" s="3"/>
      <c r="G883" s="3"/>
      <c r="H883" s="6" t="s">
        <v>769</v>
      </c>
      <c r="I883" s="8"/>
      <c r="J883" s="380"/>
      <c r="K883" s="380"/>
      <c r="L883" s="380"/>
      <c r="M883" s="380"/>
      <c r="N883" s="380"/>
    </row>
    <row r="884" spans="1:14" s="98" customFormat="1" ht="15.75">
      <c r="A884" s="3"/>
      <c r="B884" s="3"/>
      <c r="C884" s="3"/>
      <c r="D884" s="3"/>
      <c r="E884" s="3"/>
      <c r="F884" s="3"/>
      <c r="G884" s="3"/>
      <c r="H884" s="6" t="s">
        <v>770</v>
      </c>
      <c r="I884" s="8"/>
      <c r="J884" s="380"/>
      <c r="K884" s="380"/>
      <c r="L884" s="380"/>
      <c r="M884" s="380"/>
      <c r="N884" s="380"/>
    </row>
    <row r="885" spans="1:14" s="98" customFormat="1" ht="15.75">
      <c r="A885" s="3"/>
      <c r="B885" s="3"/>
      <c r="C885" s="3"/>
      <c r="D885" s="3"/>
      <c r="E885" s="3"/>
      <c r="F885" s="3"/>
      <c r="G885" s="3"/>
      <c r="H885" s="361" t="str">
        <f>H11</f>
        <v>                         Добровольский К.А.</v>
      </c>
      <c r="I885" s="8"/>
      <c r="J885" s="380"/>
      <c r="K885" s="380"/>
      <c r="L885" s="380"/>
      <c r="M885" s="380"/>
      <c r="N885" s="380"/>
    </row>
    <row r="886" ht="15.75">
      <c r="H886" s="6" t="s">
        <v>772</v>
      </c>
    </row>
    <row r="887" ht="15.75">
      <c r="H887" s="6" t="s">
        <v>567</v>
      </c>
    </row>
    <row r="888" ht="15.75">
      <c r="A888" s="362"/>
    </row>
    <row r="889" ht="15.75">
      <c r="A889" s="3" t="s">
        <v>221</v>
      </c>
    </row>
    <row r="890" spans="1:8" ht="18.75" customHeight="1">
      <c r="A890" s="623" t="s">
        <v>120</v>
      </c>
      <c r="B890" s="623"/>
      <c r="C890" s="623"/>
      <c r="D890" s="623"/>
      <c r="E890" s="623"/>
      <c r="F890" s="623"/>
      <c r="G890" s="623"/>
      <c r="H890" s="623"/>
    </row>
    <row r="891" spans="1:8" ht="15.75">
      <c r="A891" s="364"/>
      <c r="B891" s="364"/>
      <c r="C891" s="366"/>
      <c r="D891" s="366"/>
      <c r="E891" s="366"/>
      <c r="F891" s="366"/>
      <c r="G891" s="366"/>
      <c r="H891" s="366"/>
    </row>
    <row r="892" spans="1:8" ht="16.5" customHeight="1">
      <c r="A892" s="581" t="s">
        <v>121</v>
      </c>
      <c r="B892" s="559" t="s">
        <v>122</v>
      </c>
      <c r="C892" s="560" t="s">
        <v>123</v>
      </c>
      <c r="D892" s="560"/>
      <c r="E892" s="560"/>
      <c r="F892" s="560"/>
      <c r="G892" s="561" t="s">
        <v>124</v>
      </c>
      <c r="H892" s="581" t="s">
        <v>125</v>
      </c>
    </row>
    <row r="893" spans="1:8" ht="15.75">
      <c r="A893" s="581"/>
      <c r="B893" s="559"/>
      <c r="C893" s="560"/>
      <c r="D893" s="560"/>
      <c r="E893" s="560"/>
      <c r="F893" s="560"/>
      <c r="G893" s="561"/>
      <c r="H893" s="581"/>
    </row>
    <row r="894" spans="1:8" ht="31.5">
      <c r="A894" s="581"/>
      <c r="B894" s="559"/>
      <c r="C894" s="369" t="s">
        <v>126</v>
      </c>
      <c r="D894" s="369" t="s">
        <v>127</v>
      </c>
      <c r="E894" s="370" t="s">
        <v>126</v>
      </c>
      <c r="F894" s="371" t="s">
        <v>127</v>
      </c>
      <c r="G894" s="561"/>
      <c r="H894" s="581"/>
    </row>
    <row r="895" spans="1:8" ht="15.75">
      <c r="A895" s="367">
        <v>1</v>
      </c>
      <c r="B895" s="367">
        <v>2</v>
      </c>
      <c r="C895" s="372">
        <v>3</v>
      </c>
      <c r="D895" s="372">
        <v>4</v>
      </c>
      <c r="E895" s="373"/>
      <c r="F895" s="374"/>
      <c r="G895" s="368">
        <v>5</v>
      </c>
      <c r="H895" s="367">
        <v>6</v>
      </c>
    </row>
    <row r="896" spans="1:8" ht="18.75" customHeight="1">
      <c r="A896" s="375">
        <v>1</v>
      </c>
      <c r="B896" s="582" t="s">
        <v>128</v>
      </c>
      <c r="C896" s="582"/>
      <c r="D896" s="582"/>
      <c r="E896" s="582"/>
      <c r="F896" s="582"/>
      <c r="G896" s="582"/>
      <c r="H896" s="582"/>
    </row>
    <row r="897" spans="1:8" ht="15.75">
      <c r="A897" s="376" t="s">
        <v>594</v>
      </c>
      <c r="B897" s="377" t="s">
        <v>129</v>
      </c>
      <c r="C897" s="378" t="s">
        <v>26</v>
      </c>
      <c r="D897" s="378" t="s">
        <v>26</v>
      </c>
      <c r="E897" s="378" t="s">
        <v>26</v>
      </c>
      <c r="F897" s="378" t="s">
        <v>26</v>
      </c>
      <c r="G897" s="378" t="s">
        <v>26</v>
      </c>
      <c r="H897" s="379" t="s">
        <v>130</v>
      </c>
    </row>
    <row r="898" spans="1:8" ht="15.75">
      <c r="A898" s="376" t="s">
        <v>735</v>
      </c>
      <c r="B898" s="377" t="s">
        <v>131</v>
      </c>
      <c r="C898" s="378" t="s">
        <v>26</v>
      </c>
      <c r="D898" s="378" t="s">
        <v>26</v>
      </c>
      <c r="E898" s="378" t="s">
        <v>26</v>
      </c>
      <c r="F898" s="378" t="s">
        <v>26</v>
      </c>
      <c r="G898" s="378" t="s">
        <v>26</v>
      </c>
      <c r="H898" s="379" t="s">
        <v>130</v>
      </c>
    </row>
    <row r="899" spans="1:8" ht="31.5">
      <c r="A899" s="376" t="s">
        <v>737</v>
      </c>
      <c r="B899" s="381" t="s">
        <v>132</v>
      </c>
      <c r="C899" s="378" t="s">
        <v>26</v>
      </c>
      <c r="D899" s="378" t="s">
        <v>26</v>
      </c>
      <c r="E899" s="378" t="s">
        <v>26</v>
      </c>
      <c r="F899" s="378" t="s">
        <v>26</v>
      </c>
      <c r="G899" s="378" t="s">
        <v>26</v>
      </c>
      <c r="H899" s="379" t="s">
        <v>130</v>
      </c>
    </row>
    <row r="900" spans="1:8" ht="47.25">
      <c r="A900" s="376" t="s">
        <v>739</v>
      </c>
      <c r="B900" s="381" t="s">
        <v>133</v>
      </c>
      <c r="C900" s="378" t="s">
        <v>26</v>
      </c>
      <c r="D900" s="378" t="s">
        <v>26</v>
      </c>
      <c r="E900" s="378" t="s">
        <v>26</v>
      </c>
      <c r="F900" s="378" t="s">
        <v>26</v>
      </c>
      <c r="G900" s="378" t="s">
        <v>26</v>
      </c>
      <c r="H900" s="379" t="s">
        <v>130</v>
      </c>
    </row>
    <row r="901" spans="1:8" ht="15.75">
      <c r="A901" s="376" t="s">
        <v>852</v>
      </c>
      <c r="B901" s="382" t="s">
        <v>134</v>
      </c>
      <c r="C901" s="378" t="s">
        <v>26</v>
      </c>
      <c r="D901" s="378" t="s">
        <v>26</v>
      </c>
      <c r="E901" s="378" t="s">
        <v>26</v>
      </c>
      <c r="F901" s="378" t="s">
        <v>26</v>
      </c>
      <c r="G901" s="378" t="s">
        <v>26</v>
      </c>
      <c r="H901" s="379" t="s">
        <v>130</v>
      </c>
    </row>
    <row r="902" spans="1:8" ht="15.75">
      <c r="A902" s="376" t="s">
        <v>853</v>
      </c>
      <c r="B902" s="382" t="s">
        <v>135</v>
      </c>
      <c r="C902" s="378" t="s">
        <v>26</v>
      </c>
      <c r="D902" s="378" t="s">
        <v>26</v>
      </c>
      <c r="E902" s="378" t="s">
        <v>26</v>
      </c>
      <c r="F902" s="378" t="s">
        <v>26</v>
      </c>
      <c r="G902" s="378" t="s">
        <v>26</v>
      </c>
      <c r="H902" s="379" t="s">
        <v>130</v>
      </c>
    </row>
    <row r="903" spans="1:8" ht="18.75" customHeight="1">
      <c r="A903" s="376">
        <v>2</v>
      </c>
      <c r="B903" s="579" t="s">
        <v>136</v>
      </c>
      <c r="C903" s="579"/>
      <c r="D903" s="579"/>
      <c r="E903" s="579"/>
      <c r="F903" s="579"/>
      <c r="G903" s="579"/>
      <c r="H903" s="579"/>
    </row>
    <row r="904" spans="1:8" ht="31.5">
      <c r="A904" s="376" t="s">
        <v>743</v>
      </c>
      <c r="B904" s="381" t="s">
        <v>137</v>
      </c>
      <c r="C904" s="378" t="s">
        <v>138</v>
      </c>
      <c r="D904" s="378" t="s">
        <v>183</v>
      </c>
      <c r="E904" s="378" t="s">
        <v>26</v>
      </c>
      <c r="F904" s="378" t="s">
        <v>26</v>
      </c>
      <c r="G904" s="383">
        <v>0</v>
      </c>
      <c r="H904" s="379"/>
    </row>
    <row r="905" spans="1:8" ht="47.25">
      <c r="A905" s="376" t="s">
        <v>746</v>
      </c>
      <c r="B905" s="381" t="s">
        <v>140</v>
      </c>
      <c r="C905" s="378" t="s">
        <v>26</v>
      </c>
      <c r="D905" s="378" t="s">
        <v>26</v>
      </c>
      <c r="E905" s="378" t="s">
        <v>26</v>
      </c>
      <c r="F905" s="378" t="s">
        <v>26</v>
      </c>
      <c r="G905" s="378" t="s">
        <v>26</v>
      </c>
      <c r="H905" s="379" t="s">
        <v>130</v>
      </c>
    </row>
    <row r="906" spans="1:8" ht="31.5">
      <c r="A906" s="376" t="s">
        <v>141</v>
      </c>
      <c r="B906" s="381" t="s">
        <v>142</v>
      </c>
      <c r="C906" s="378" t="s">
        <v>26</v>
      </c>
      <c r="D906" s="378" t="s">
        <v>26</v>
      </c>
      <c r="E906" s="378" t="s">
        <v>26</v>
      </c>
      <c r="F906" s="378" t="s">
        <v>26</v>
      </c>
      <c r="G906" s="378" t="s">
        <v>26</v>
      </c>
      <c r="H906" s="379" t="s">
        <v>130</v>
      </c>
    </row>
    <row r="907" spans="1:8" ht="18.75" customHeight="1">
      <c r="A907" s="376">
        <v>3</v>
      </c>
      <c r="B907" s="579" t="s">
        <v>184</v>
      </c>
      <c r="C907" s="579"/>
      <c r="D907" s="579"/>
      <c r="E907" s="579"/>
      <c r="F907" s="579"/>
      <c r="G907" s="579"/>
      <c r="H907" s="579"/>
    </row>
    <row r="908" spans="1:8" ht="31.5">
      <c r="A908" s="376" t="s">
        <v>756</v>
      </c>
      <c r="B908" s="382" t="s">
        <v>144</v>
      </c>
      <c r="C908" s="378" t="s">
        <v>26</v>
      </c>
      <c r="D908" s="378" t="s">
        <v>26</v>
      </c>
      <c r="E908" s="378" t="s">
        <v>26</v>
      </c>
      <c r="F908" s="378" t="s">
        <v>26</v>
      </c>
      <c r="G908" s="378" t="s">
        <v>26</v>
      </c>
      <c r="H908" s="379" t="s">
        <v>130</v>
      </c>
    </row>
    <row r="909" spans="1:8" ht="15.75">
      <c r="A909" s="376" t="s">
        <v>757</v>
      </c>
      <c r="B909" s="382" t="s">
        <v>145</v>
      </c>
      <c r="C909" s="378" t="s">
        <v>185</v>
      </c>
      <c r="D909" s="378" t="s">
        <v>178</v>
      </c>
      <c r="E909" s="378" t="s">
        <v>26</v>
      </c>
      <c r="F909" s="378" t="s">
        <v>26</v>
      </c>
      <c r="G909" s="383">
        <v>0</v>
      </c>
      <c r="H909" s="379"/>
    </row>
    <row r="910" spans="1:8" ht="15.75">
      <c r="A910" s="376" t="s">
        <v>147</v>
      </c>
      <c r="B910" s="382" t="s">
        <v>148</v>
      </c>
      <c r="C910" s="378" t="s">
        <v>186</v>
      </c>
      <c r="D910" s="378" t="s">
        <v>172</v>
      </c>
      <c r="E910" s="378" t="s">
        <v>26</v>
      </c>
      <c r="F910" s="378" t="s">
        <v>26</v>
      </c>
      <c r="G910" s="383">
        <v>0</v>
      </c>
      <c r="H910" s="379"/>
    </row>
    <row r="911" spans="1:8" ht="15.75">
      <c r="A911" s="376" t="s">
        <v>151</v>
      </c>
      <c r="B911" s="382" t="s">
        <v>152</v>
      </c>
      <c r="C911" s="378" t="s">
        <v>187</v>
      </c>
      <c r="D911" s="378" t="s">
        <v>188</v>
      </c>
      <c r="E911" s="378" t="s">
        <v>26</v>
      </c>
      <c r="F911" s="378" t="s">
        <v>26</v>
      </c>
      <c r="G911" s="383">
        <v>0</v>
      </c>
      <c r="H911" s="379"/>
    </row>
    <row r="912" spans="1:8" ht="15.75">
      <c r="A912" s="376" t="s">
        <v>155</v>
      </c>
      <c r="B912" s="382" t="s">
        <v>156</v>
      </c>
      <c r="C912" s="378" t="s">
        <v>189</v>
      </c>
      <c r="D912" s="378" t="s">
        <v>183</v>
      </c>
      <c r="E912" s="378" t="s">
        <v>26</v>
      </c>
      <c r="F912" s="378" t="s">
        <v>26</v>
      </c>
      <c r="G912" s="383">
        <v>0</v>
      </c>
      <c r="H912" s="379"/>
    </row>
    <row r="913" spans="1:8" ht="18.75" customHeight="1">
      <c r="A913" s="376">
        <v>4</v>
      </c>
      <c r="B913" s="579" t="s">
        <v>159</v>
      </c>
      <c r="C913" s="579"/>
      <c r="D913" s="579"/>
      <c r="E913" s="579"/>
      <c r="F913" s="579"/>
      <c r="G913" s="579"/>
      <c r="H913" s="579"/>
    </row>
    <row r="914" spans="1:8" ht="31.5">
      <c r="A914" s="376" t="s">
        <v>160</v>
      </c>
      <c r="B914" s="381" t="s">
        <v>161</v>
      </c>
      <c r="C914" s="378" t="s">
        <v>26</v>
      </c>
      <c r="D914" s="378" t="s">
        <v>26</v>
      </c>
      <c r="E914" s="378" t="s">
        <v>26</v>
      </c>
      <c r="F914" s="378" t="s">
        <v>26</v>
      </c>
      <c r="G914" s="378" t="s">
        <v>26</v>
      </c>
      <c r="H914" s="379" t="s">
        <v>130</v>
      </c>
    </row>
    <row r="915" spans="1:8" ht="47.25">
      <c r="A915" s="376" t="s">
        <v>162</v>
      </c>
      <c r="B915" s="381" t="s">
        <v>163</v>
      </c>
      <c r="C915" s="378" t="s">
        <v>26</v>
      </c>
      <c r="D915" s="378" t="s">
        <v>26</v>
      </c>
      <c r="E915" s="378" t="s">
        <v>26</v>
      </c>
      <c r="F915" s="378" t="s">
        <v>26</v>
      </c>
      <c r="G915" s="378" t="s">
        <v>26</v>
      </c>
      <c r="H915" s="379" t="s">
        <v>130</v>
      </c>
    </row>
    <row r="916" spans="1:8" ht="31.5">
      <c r="A916" s="376" t="s">
        <v>164</v>
      </c>
      <c r="B916" s="382" t="s">
        <v>165</v>
      </c>
      <c r="C916" s="378" t="s">
        <v>26</v>
      </c>
      <c r="D916" s="378" t="s">
        <v>26</v>
      </c>
      <c r="E916" s="378" t="s">
        <v>26</v>
      </c>
      <c r="F916" s="378" t="s">
        <v>26</v>
      </c>
      <c r="G916" s="378" t="s">
        <v>26</v>
      </c>
      <c r="H916" s="379" t="s">
        <v>130</v>
      </c>
    </row>
    <row r="917" spans="1:8" ht="31.5">
      <c r="A917" s="384" t="s">
        <v>166</v>
      </c>
      <c r="B917" s="385" t="s">
        <v>167</v>
      </c>
      <c r="C917" s="386" t="s">
        <v>26</v>
      </c>
      <c r="D917" s="386" t="s">
        <v>26</v>
      </c>
      <c r="E917" s="386" t="s">
        <v>26</v>
      </c>
      <c r="F917" s="386" t="s">
        <v>26</v>
      </c>
      <c r="G917" s="386" t="s">
        <v>26</v>
      </c>
      <c r="H917" s="387" t="s">
        <v>130</v>
      </c>
    </row>
    <row r="918" spans="1:8" ht="15.75">
      <c r="A918" s="388"/>
      <c r="B918" s="389"/>
      <c r="C918" s="390"/>
      <c r="D918" s="390"/>
      <c r="E918" s="390"/>
      <c r="F918" s="390"/>
      <c r="G918" s="390"/>
      <c r="H918" s="98"/>
    </row>
    <row r="919" spans="1:8" ht="18.75" customHeight="1">
      <c r="A919" s="580" t="s">
        <v>168</v>
      </c>
      <c r="B919" s="580"/>
      <c r="C919" s="580"/>
      <c r="D919" s="580"/>
      <c r="E919" s="580"/>
      <c r="F919" s="580"/>
      <c r="G919" s="580"/>
      <c r="H919" s="580"/>
    </row>
    <row r="922" ht="15.75">
      <c r="H922" s="6" t="s">
        <v>113</v>
      </c>
    </row>
    <row r="923" ht="15.75">
      <c r="H923" s="6" t="s">
        <v>114</v>
      </c>
    </row>
    <row r="924" ht="15.75">
      <c r="H924" s="6" t="s">
        <v>115</v>
      </c>
    </row>
    <row r="925" ht="15.75">
      <c r="H925" s="6"/>
    </row>
    <row r="926" spans="1:14" s="98" customFormat="1" ht="18.75" customHeight="1">
      <c r="A926" s="622" t="s">
        <v>116</v>
      </c>
      <c r="B926" s="622"/>
      <c r="C926" s="622"/>
      <c r="D926" s="622"/>
      <c r="E926" s="622"/>
      <c r="F926" s="622"/>
      <c r="G926" s="622"/>
      <c r="H926" s="622"/>
      <c r="I926" s="8"/>
      <c r="J926" s="380"/>
      <c r="K926" s="380"/>
      <c r="L926" s="380"/>
      <c r="M926" s="380"/>
      <c r="N926" s="380"/>
    </row>
    <row r="927" spans="1:14" s="98" customFormat="1" ht="18.75" customHeight="1">
      <c r="A927" s="622" t="s">
        <v>117</v>
      </c>
      <c r="B927" s="622"/>
      <c r="C927" s="622"/>
      <c r="D927" s="622"/>
      <c r="E927" s="622"/>
      <c r="F927" s="622"/>
      <c r="G927" s="622"/>
      <c r="H927" s="622"/>
      <c r="I927" s="8"/>
      <c r="J927" s="380"/>
      <c r="K927" s="380"/>
      <c r="L927" s="380"/>
      <c r="M927" s="380"/>
      <c r="N927" s="380"/>
    </row>
    <row r="928" spans="1:14" s="98" customFormat="1" ht="15.75">
      <c r="A928" s="3"/>
      <c r="B928" s="3"/>
      <c r="C928" s="3"/>
      <c r="D928" s="3"/>
      <c r="E928" s="3"/>
      <c r="F928" s="3"/>
      <c r="G928" s="3"/>
      <c r="H928" s="6" t="s">
        <v>562</v>
      </c>
      <c r="I928" s="8"/>
      <c r="J928" s="380"/>
      <c r="K928" s="380"/>
      <c r="L928" s="380"/>
      <c r="M928" s="380"/>
      <c r="N928" s="380"/>
    </row>
    <row r="929" spans="1:14" s="98" customFormat="1" ht="15.75">
      <c r="A929" s="3"/>
      <c r="B929" s="3"/>
      <c r="C929" s="3"/>
      <c r="D929" s="3"/>
      <c r="E929" s="3"/>
      <c r="F929" s="3"/>
      <c r="G929" s="3"/>
      <c r="H929" s="6" t="s">
        <v>769</v>
      </c>
      <c r="I929" s="8"/>
      <c r="J929" s="380"/>
      <c r="K929" s="380"/>
      <c r="L929" s="380"/>
      <c r="M929" s="380"/>
      <c r="N929" s="380"/>
    </row>
    <row r="930" spans="1:14" s="98" customFormat="1" ht="15.75">
      <c r="A930" s="3"/>
      <c r="B930" s="3"/>
      <c r="C930" s="3"/>
      <c r="D930" s="3"/>
      <c r="E930" s="3"/>
      <c r="F930" s="3"/>
      <c r="G930" s="3"/>
      <c r="H930" s="6" t="s">
        <v>770</v>
      </c>
      <c r="I930" s="8"/>
      <c r="J930" s="380"/>
      <c r="K930" s="380"/>
      <c r="L930" s="380"/>
      <c r="M930" s="380"/>
      <c r="N930" s="380"/>
    </row>
    <row r="931" spans="1:14" s="98" customFormat="1" ht="15.75">
      <c r="A931" s="3"/>
      <c r="B931" s="3"/>
      <c r="C931" s="3"/>
      <c r="D931" s="3"/>
      <c r="E931" s="3"/>
      <c r="F931" s="3"/>
      <c r="G931" s="3"/>
      <c r="H931" s="361" t="str">
        <f>H11</f>
        <v>                         Добровольский К.А.</v>
      </c>
      <c r="I931" s="8"/>
      <c r="J931" s="380"/>
      <c r="K931" s="380"/>
      <c r="L931" s="380"/>
      <c r="M931" s="380"/>
      <c r="N931" s="380"/>
    </row>
    <row r="932" spans="1:14" s="98" customFormat="1" ht="15.75">
      <c r="A932" s="3"/>
      <c r="B932" s="3"/>
      <c r="C932" s="3"/>
      <c r="D932" s="3"/>
      <c r="E932" s="3"/>
      <c r="F932" s="3"/>
      <c r="G932" s="3"/>
      <c r="H932" s="6" t="s">
        <v>772</v>
      </c>
      <c r="I932" s="8"/>
      <c r="J932" s="380"/>
      <c r="K932" s="380"/>
      <c r="L932" s="380"/>
      <c r="M932" s="380"/>
      <c r="N932" s="380"/>
    </row>
    <row r="933" spans="1:14" s="98" customFormat="1" ht="15.75">
      <c r="A933" s="3"/>
      <c r="B933" s="3"/>
      <c r="C933" s="3"/>
      <c r="D933" s="3"/>
      <c r="E933" s="3"/>
      <c r="F933" s="3"/>
      <c r="G933" s="3"/>
      <c r="H933" s="6" t="s">
        <v>567</v>
      </c>
      <c r="I933" s="8"/>
      <c r="J933" s="380"/>
      <c r="K933" s="380"/>
      <c r="L933" s="380"/>
      <c r="M933" s="380"/>
      <c r="N933" s="380"/>
    </row>
    <row r="934" spans="1:14" s="98" customFormat="1" ht="15.75">
      <c r="A934" s="362"/>
      <c r="B934" s="3"/>
      <c r="C934" s="3"/>
      <c r="D934" s="3"/>
      <c r="E934" s="3"/>
      <c r="F934" s="3"/>
      <c r="G934" s="3"/>
      <c r="H934" s="3"/>
      <c r="I934" s="8"/>
      <c r="J934" s="380"/>
      <c r="K934" s="380"/>
      <c r="L934" s="380"/>
      <c r="M934" s="380"/>
      <c r="N934" s="380"/>
    </row>
    <row r="935" ht="15.75">
      <c r="A935" s="3" t="s">
        <v>222</v>
      </c>
    </row>
    <row r="936" spans="1:8" ht="18.75" customHeight="1">
      <c r="A936" s="623" t="s">
        <v>120</v>
      </c>
      <c r="B936" s="623"/>
      <c r="C936" s="623"/>
      <c r="D936" s="623"/>
      <c r="E936" s="623"/>
      <c r="F936" s="623"/>
      <c r="G936" s="623"/>
      <c r="H936" s="623"/>
    </row>
    <row r="937" spans="1:8" ht="15.75">
      <c r="A937" s="364"/>
      <c r="B937" s="364"/>
      <c r="C937" s="366"/>
      <c r="D937" s="366"/>
      <c r="E937" s="366"/>
      <c r="F937" s="366"/>
      <c r="G937" s="366"/>
      <c r="H937" s="366"/>
    </row>
    <row r="938" spans="1:8" ht="16.5" customHeight="1">
      <c r="A938" s="581" t="s">
        <v>121</v>
      </c>
      <c r="B938" s="559" t="s">
        <v>122</v>
      </c>
      <c r="C938" s="560" t="s">
        <v>123</v>
      </c>
      <c r="D938" s="560"/>
      <c r="E938" s="560"/>
      <c r="F938" s="560"/>
      <c r="G938" s="561" t="s">
        <v>124</v>
      </c>
      <c r="H938" s="581" t="s">
        <v>125</v>
      </c>
    </row>
    <row r="939" spans="1:8" ht="15.75">
      <c r="A939" s="581"/>
      <c r="B939" s="559"/>
      <c r="C939" s="560"/>
      <c r="D939" s="560"/>
      <c r="E939" s="560"/>
      <c r="F939" s="560"/>
      <c r="G939" s="561"/>
      <c r="H939" s="581"/>
    </row>
    <row r="940" spans="1:8" ht="31.5">
      <c r="A940" s="581"/>
      <c r="B940" s="559"/>
      <c r="C940" s="369" t="s">
        <v>126</v>
      </c>
      <c r="D940" s="369" t="s">
        <v>127</v>
      </c>
      <c r="E940" s="370" t="s">
        <v>126</v>
      </c>
      <c r="F940" s="371" t="s">
        <v>127</v>
      </c>
      <c r="G940" s="561"/>
      <c r="H940" s="581"/>
    </row>
    <row r="941" spans="1:8" ht="15.75">
      <c r="A941" s="367">
        <v>1</v>
      </c>
      <c r="B941" s="367">
        <v>2</v>
      </c>
      <c r="C941" s="372">
        <v>3</v>
      </c>
      <c r="D941" s="372">
        <v>4</v>
      </c>
      <c r="E941" s="373"/>
      <c r="F941" s="374"/>
      <c r="G941" s="368">
        <v>5</v>
      </c>
      <c r="H941" s="367">
        <v>6</v>
      </c>
    </row>
    <row r="942" spans="1:8" ht="18.75" customHeight="1">
      <c r="A942" s="375">
        <v>1</v>
      </c>
      <c r="B942" s="582" t="s">
        <v>128</v>
      </c>
      <c r="C942" s="582"/>
      <c r="D942" s="582"/>
      <c r="E942" s="582"/>
      <c r="F942" s="582"/>
      <c r="G942" s="582"/>
      <c r="H942" s="582"/>
    </row>
    <row r="943" spans="1:8" ht="15.75">
      <c r="A943" s="376" t="s">
        <v>594</v>
      </c>
      <c r="B943" s="377" t="s">
        <v>129</v>
      </c>
      <c r="C943" s="378" t="s">
        <v>26</v>
      </c>
      <c r="D943" s="378" t="s">
        <v>26</v>
      </c>
      <c r="E943" s="378" t="s">
        <v>26</v>
      </c>
      <c r="F943" s="378" t="s">
        <v>26</v>
      </c>
      <c r="G943" s="378" t="s">
        <v>26</v>
      </c>
      <c r="H943" s="379" t="s">
        <v>130</v>
      </c>
    </row>
    <row r="944" spans="1:8" ht="15.75">
      <c r="A944" s="376" t="s">
        <v>735</v>
      </c>
      <c r="B944" s="377" t="s">
        <v>131</v>
      </c>
      <c r="C944" s="378" t="s">
        <v>26</v>
      </c>
      <c r="D944" s="378" t="s">
        <v>26</v>
      </c>
      <c r="E944" s="378" t="s">
        <v>26</v>
      </c>
      <c r="F944" s="378" t="s">
        <v>26</v>
      </c>
      <c r="G944" s="378" t="s">
        <v>26</v>
      </c>
      <c r="H944" s="379" t="s">
        <v>130</v>
      </c>
    </row>
    <row r="945" spans="1:8" ht="31.5">
      <c r="A945" s="376" t="s">
        <v>737</v>
      </c>
      <c r="B945" s="381" t="s">
        <v>132</v>
      </c>
      <c r="C945" s="378" t="s">
        <v>26</v>
      </c>
      <c r="D945" s="378" t="s">
        <v>26</v>
      </c>
      <c r="E945" s="378" t="s">
        <v>26</v>
      </c>
      <c r="F945" s="378" t="s">
        <v>26</v>
      </c>
      <c r="G945" s="378" t="s">
        <v>26</v>
      </c>
      <c r="H945" s="379" t="s">
        <v>130</v>
      </c>
    </row>
    <row r="946" spans="1:8" ht="47.25">
      <c r="A946" s="376" t="s">
        <v>739</v>
      </c>
      <c r="B946" s="381" t="s">
        <v>133</v>
      </c>
      <c r="C946" s="378" t="s">
        <v>26</v>
      </c>
      <c r="D946" s="378" t="s">
        <v>26</v>
      </c>
      <c r="E946" s="378" t="s">
        <v>26</v>
      </c>
      <c r="F946" s="378" t="s">
        <v>26</v>
      </c>
      <c r="G946" s="378" t="s">
        <v>26</v>
      </c>
      <c r="H946" s="379" t="s">
        <v>130</v>
      </c>
    </row>
    <row r="947" spans="1:8" ht="15.75">
      <c r="A947" s="376" t="s">
        <v>852</v>
      </c>
      <c r="B947" s="382" t="s">
        <v>134</v>
      </c>
      <c r="C947" s="378" t="s">
        <v>26</v>
      </c>
      <c r="D947" s="378" t="s">
        <v>26</v>
      </c>
      <c r="E947" s="378" t="s">
        <v>26</v>
      </c>
      <c r="F947" s="378" t="s">
        <v>26</v>
      </c>
      <c r="G947" s="378" t="s">
        <v>26</v>
      </c>
      <c r="H947" s="379" t="s">
        <v>130</v>
      </c>
    </row>
    <row r="948" spans="1:8" ht="15.75">
      <c r="A948" s="376" t="s">
        <v>853</v>
      </c>
      <c r="B948" s="382" t="s">
        <v>135</v>
      </c>
      <c r="C948" s="378" t="s">
        <v>26</v>
      </c>
      <c r="D948" s="378" t="s">
        <v>26</v>
      </c>
      <c r="E948" s="378" t="s">
        <v>26</v>
      </c>
      <c r="F948" s="378" t="s">
        <v>26</v>
      </c>
      <c r="G948" s="378" t="s">
        <v>26</v>
      </c>
      <c r="H948" s="379" t="s">
        <v>130</v>
      </c>
    </row>
    <row r="949" spans="1:8" ht="18.75" customHeight="1">
      <c r="A949" s="376">
        <v>2</v>
      </c>
      <c r="B949" s="579" t="s">
        <v>136</v>
      </c>
      <c r="C949" s="579"/>
      <c r="D949" s="579"/>
      <c r="E949" s="579"/>
      <c r="F949" s="579"/>
      <c r="G949" s="579"/>
      <c r="H949" s="579"/>
    </row>
    <row r="950" spans="1:8" ht="31.5">
      <c r="A950" s="376" t="s">
        <v>743</v>
      </c>
      <c r="B950" s="381" t="s">
        <v>137</v>
      </c>
      <c r="C950" s="378" t="s">
        <v>138</v>
      </c>
      <c r="D950" s="378" t="s">
        <v>183</v>
      </c>
      <c r="E950" s="378" t="s">
        <v>26</v>
      </c>
      <c r="F950" s="378" t="s">
        <v>26</v>
      </c>
      <c r="G950" s="383">
        <v>0</v>
      </c>
      <c r="H950" s="379"/>
    </row>
    <row r="951" spans="1:8" ht="47.25">
      <c r="A951" s="376" t="s">
        <v>746</v>
      </c>
      <c r="B951" s="381" t="s">
        <v>140</v>
      </c>
      <c r="C951" s="378" t="s">
        <v>26</v>
      </c>
      <c r="D951" s="378" t="s">
        <v>26</v>
      </c>
      <c r="E951" s="378" t="s">
        <v>26</v>
      </c>
      <c r="F951" s="378" t="s">
        <v>26</v>
      </c>
      <c r="G951" s="378" t="s">
        <v>26</v>
      </c>
      <c r="H951" s="379" t="s">
        <v>130</v>
      </c>
    </row>
    <row r="952" spans="1:8" ht="31.5">
      <c r="A952" s="376" t="s">
        <v>141</v>
      </c>
      <c r="B952" s="381" t="s">
        <v>142</v>
      </c>
      <c r="C952" s="378" t="s">
        <v>26</v>
      </c>
      <c r="D952" s="378" t="s">
        <v>26</v>
      </c>
      <c r="E952" s="378" t="s">
        <v>26</v>
      </c>
      <c r="F952" s="378" t="s">
        <v>26</v>
      </c>
      <c r="G952" s="378" t="s">
        <v>26</v>
      </c>
      <c r="H952" s="379" t="s">
        <v>130</v>
      </c>
    </row>
    <row r="953" spans="1:8" ht="18.75" customHeight="1">
      <c r="A953" s="376">
        <v>3</v>
      </c>
      <c r="B953" s="579" t="s">
        <v>184</v>
      </c>
      <c r="C953" s="579"/>
      <c r="D953" s="579"/>
      <c r="E953" s="579"/>
      <c r="F953" s="579"/>
      <c r="G953" s="579"/>
      <c r="H953" s="579"/>
    </row>
    <row r="954" spans="1:8" ht="31.5">
      <c r="A954" s="376" t="s">
        <v>756</v>
      </c>
      <c r="B954" s="382" t="s">
        <v>144</v>
      </c>
      <c r="C954" s="378" t="s">
        <v>26</v>
      </c>
      <c r="D954" s="378" t="s">
        <v>26</v>
      </c>
      <c r="E954" s="378" t="s">
        <v>26</v>
      </c>
      <c r="F954" s="378" t="s">
        <v>26</v>
      </c>
      <c r="G954" s="378" t="s">
        <v>26</v>
      </c>
      <c r="H954" s="379" t="s">
        <v>130</v>
      </c>
    </row>
    <row r="955" spans="1:8" ht="15.75">
      <c r="A955" s="376" t="s">
        <v>757</v>
      </c>
      <c r="B955" s="382" t="s">
        <v>145</v>
      </c>
      <c r="C955" s="378" t="s">
        <v>185</v>
      </c>
      <c r="D955" s="378" t="s">
        <v>178</v>
      </c>
      <c r="E955" s="378" t="s">
        <v>26</v>
      </c>
      <c r="F955" s="378" t="s">
        <v>26</v>
      </c>
      <c r="G955" s="383">
        <v>0</v>
      </c>
      <c r="H955" s="379"/>
    </row>
    <row r="956" spans="1:8" ht="15.75">
      <c r="A956" s="376" t="s">
        <v>147</v>
      </c>
      <c r="B956" s="382" t="s">
        <v>148</v>
      </c>
      <c r="C956" s="378" t="s">
        <v>186</v>
      </c>
      <c r="D956" s="378" t="s">
        <v>172</v>
      </c>
      <c r="E956" s="378" t="s">
        <v>26</v>
      </c>
      <c r="F956" s="378" t="s">
        <v>26</v>
      </c>
      <c r="G956" s="383">
        <v>0</v>
      </c>
      <c r="H956" s="379"/>
    </row>
    <row r="957" spans="1:8" ht="15.75">
      <c r="A957" s="376" t="s">
        <v>151</v>
      </c>
      <c r="B957" s="382" t="s">
        <v>152</v>
      </c>
      <c r="C957" s="378" t="s">
        <v>187</v>
      </c>
      <c r="D957" s="378" t="s">
        <v>188</v>
      </c>
      <c r="E957" s="378" t="s">
        <v>26</v>
      </c>
      <c r="F957" s="378" t="s">
        <v>26</v>
      </c>
      <c r="G957" s="383">
        <v>0</v>
      </c>
      <c r="H957" s="379"/>
    </row>
    <row r="958" spans="1:8" ht="15.75">
      <c r="A958" s="376" t="s">
        <v>155</v>
      </c>
      <c r="B958" s="382" t="s">
        <v>156</v>
      </c>
      <c r="C958" s="378" t="s">
        <v>189</v>
      </c>
      <c r="D958" s="378" t="s">
        <v>183</v>
      </c>
      <c r="E958" s="378" t="s">
        <v>26</v>
      </c>
      <c r="F958" s="378" t="s">
        <v>26</v>
      </c>
      <c r="G958" s="383">
        <v>0</v>
      </c>
      <c r="H958" s="379"/>
    </row>
    <row r="959" spans="1:8" ht="18.75" customHeight="1">
      <c r="A959" s="376">
        <v>4</v>
      </c>
      <c r="B959" s="579" t="s">
        <v>159</v>
      </c>
      <c r="C959" s="579"/>
      <c r="D959" s="579"/>
      <c r="E959" s="579"/>
      <c r="F959" s="579"/>
      <c r="G959" s="579"/>
      <c r="H959" s="579"/>
    </row>
    <row r="960" spans="1:8" ht="31.5">
      <c r="A960" s="376" t="s">
        <v>160</v>
      </c>
      <c r="B960" s="381" t="s">
        <v>161</v>
      </c>
      <c r="C960" s="378" t="s">
        <v>26</v>
      </c>
      <c r="D960" s="378" t="s">
        <v>26</v>
      </c>
      <c r="E960" s="378" t="s">
        <v>26</v>
      </c>
      <c r="F960" s="378" t="s">
        <v>26</v>
      </c>
      <c r="G960" s="378" t="s">
        <v>26</v>
      </c>
      <c r="H960" s="379" t="s">
        <v>130</v>
      </c>
    </row>
    <row r="961" spans="1:8" ht="47.25">
      <c r="A961" s="376" t="s">
        <v>162</v>
      </c>
      <c r="B961" s="381" t="s">
        <v>163</v>
      </c>
      <c r="C961" s="378" t="s">
        <v>26</v>
      </c>
      <c r="D961" s="378" t="s">
        <v>26</v>
      </c>
      <c r="E961" s="378" t="s">
        <v>26</v>
      </c>
      <c r="F961" s="378" t="s">
        <v>26</v>
      </c>
      <c r="G961" s="378" t="s">
        <v>26</v>
      </c>
      <c r="H961" s="379" t="s">
        <v>130</v>
      </c>
    </row>
    <row r="962" spans="1:8" ht="31.5">
      <c r="A962" s="376" t="s">
        <v>164</v>
      </c>
      <c r="B962" s="382" t="s">
        <v>165</v>
      </c>
      <c r="C962" s="378" t="s">
        <v>26</v>
      </c>
      <c r="D962" s="378" t="s">
        <v>26</v>
      </c>
      <c r="E962" s="378" t="s">
        <v>26</v>
      </c>
      <c r="F962" s="378" t="s">
        <v>26</v>
      </c>
      <c r="G962" s="378" t="s">
        <v>26</v>
      </c>
      <c r="H962" s="379" t="s">
        <v>130</v>
      </c>
    </row>
    <row r="963" spans="1:8" ht="31.5">
      <c r="A963" s="384" t="s">
        <v>166</v>
      </c>
      <c r="B963" s="385" t="s">
        <v>167</v>
      </c>
      <c r="C963" s="386" t="s">
        <v>26</v>
      </c>
      <c r="D963" s="386" t="s">
        <v>26</v>
      </c>
      <c r="E963" s="386" t="s">
        <v>26</v>
      </c>
      <c r="F963" s="386" t="s">
        <v>26</v>
      </c>
      <c r="G963" s="386" t="s">
        <v>26</v>
      </c>
      <c r="H963" s="387" t="s">
        <v>130</v>
      </c>
    </row>
    <row r="964" spans="1:8" ht="15.75">
      <c r="A964" s="388"/>
      <c r="B964" s="389"/>
      <c r="C964" s="390"/>
      <c r="D964" s="390"/>
      <c r="E964" s="390"/>
      <c r="F964" s="390"/>
      <c r="G964" s="390"/>
      <c r="H964" s="98"/>
    </row>
    <row r="965" spans="1:8" ht="18.75" customHeight="1">
      <c r="A965" s="580" t="s">
        <v>168</v>
      </c>
      <c r="B965" s="580"/>
      <c r="C965" s="580"/>
      <c r="D965" s="580"/>
      <c r="E965" s="580"/>
      <c r="F965" s="580"/>
      <c r="G965" s="580"/>
      <c r="H965" s="580"/>
    </row>
    <row r="966" spans="1:8" ht="15.75">
      <c r="A966" s="391"/>
      <c r="B966" s="391"/>
      <c r="C966" s="391"/>
      <c r="D966" s="391"/>
      <c r="E966" s="391"/>
      <c r="F966" s="391"/>
      <c r="G966" s="391"/>
      <c r="H966" s="391"/>
    </row>
    <row r="968" ht="15.75">
      <c r="H968" s="6" t="s">
        <v>113</v>
      </c>
    </row>
    <row r="969" ht="15.75">
      <c r="H969" s="6" t="s">
        <v>114</v>
      </c>
    </row>
    <row r="970" ht="15.75">
      <c r="H970" s="6" t="s">
        <v>115</v>
      </c>
    </row>
    <row r="971" ht="15.75">
      <c r="H971" s="6"/>
    </row>
    <row r="972" spans="1:8" ht="18.75" customHeight="1">
      <c r="A972" s="622" t="s">
        <v>116</v>
      </c>
      <c r="B972" s="622"/>
      <c r="C972" s="622"/>
      <c r="D972" s="622"/>
      <c r="E972" s="622"/>
      <c r="F972" s="622"/>
      <c r="G972" s="622"/>
      <c r="H972" s="622"/>
    </row>
    <row r="973" spans="1:8" ht="18.75" customHeight="1">
      <c r="A973" s="622" t="s">
        <v>117</v>
      </c>
      <c r="B973" s="622"/>
      <c r="C973" s="622"/>
      <c r="D973" s="622"/>
      <c r="E973" s="622"/>
      <c r="F973" s="622"/>
      <c r="G973" s="622"/>
      <c r="H973" s="622"/>
    </row>
    <row r="974" ht="15.75">
      <c r="H974" s="6" t="s">
        <v>562</v>
      </c>
    </row>
    <row r="975" ht="15.75">
      <c r="H975" s="6" t="s">
        <v>769</v>
      </c>
    </row>
    <row r="976" ht="15.75">
      <c r="H976" s="6" t="s">
        <v>770</v>
      </c>
    </row>
    <row r="977" ht="15.75">
      <c r="H977" s="361" t="str">
        <f>H11</f>
        <v>                         Добровольский К.А.</v>
      </c>
    </row>
    <row r="978" ht="15.75">
      <c r="H978" s="6" t="s">
        <v>772</v>
      </c>
    </row>
    <row r="979" ht="15.75">
      <c r="H979" s="6" t="s">
        <v>567</v>
      </c>
    </row>
    <row r="980" ht="15.75">
      <c r="A980" s="362"/>
    </row>
    <row r="981" ht="15.75">
      <c r="A981" s="3" t="s">
        <v>231</v>
      </c>
    </row>
    <row r="982" spans="1:8" ht="18.75" customHeight="1">
      <c r="A982" s="623" t="s">
        <v>120</v>
      </c>
      <c r="B982" s="623"/>
      <c r="C982" s="623"/>
      <c r="D982" s="623"/>
      <c r="E982" s="623"/>
      <c r="F982" s="623"/>
      <c r="G982" s="623"/>
      <c r="H982" s="623"/>
    </row>
    <row r="983" spans="1:8" ht="15.75">
      <c r="A983" s="364"/>
      <c r="B983" s="364"/>
      <c r="C983" s="366"/>
      <c r="D983" s="366"/>
      <c r="E983" s="366"/>
      <c r="F983" s="366"/>
      <c r="G983" s="366"/>
      <c r="H983" s="366"/>
    </row>
    <row r="984" spans="1:8" ht="16.5" customHeight="1">
      <c r="A984" s="581" t="s">
        <v>121</v>
      </c>
      <c r="B984" s="559" t="s">
        <v>122</v>
      </c>
      <c r="C984" s="560" t="s">
        <v>123</v>
      </c>
      <c r="D984" s="560"/>
      <c r="E984" s="560"/>
      <c r="F984" s="560"/>
      <c r="G984" s="561" t="s">
        <v>124</v>
      </c>
      <c r="H984" s="581" t="s">
        <v>125</v>
      </c>
    </row>
    <row r="985" spans="1:8" ht="15.75">
      <c r="A985" s="581"/>
      <c r="B985" s="559"/>
      <c r="C985" s="560"/>
      <c r="D985" s="560"/>
      <c r="E985" s="560"/>
      <c r="F985" s="560"/>
      <c r="G985" s="561"/>
      <c r="H985" s="581"/>
    </row>
    <row r="986" spans="1:8" ht="31.5">
      <c r="A986" s="581"/>
      <c r="B986" s="559"/>
      <c r="C986" s="369" t="s">
        <v>126</v>
      </c>
      <c r="D986" s="369" t="s">
        <v>127</v>
      </c>
      <c r="E986" s="370" t="s">
        <v>126</v>
      </c>
      <c r="F986" s="371" t="s">
        <v>127</v>
      </c>
      <c r="G986" s="561"/>
      <c r="H986" s="581"/>
    </row>
    <row r="987" spans="1:8" ht="15.75">
      <c r="A987" s="367">
        <v>1</v>
      </c>
      <c r="B987" s="367">
        <v>2</v>
      </c>
      <c r="C987" s="372">
        <v>3</v>
      </c>
      <c r="D987" s="372">
        <v>4</v>
      </c>
      <c r="E987" s="373"/>
      <c r="F987" s="374"/>
      <c r="G987" s="368">
        <v>5</v>
      </c>
      <c r="H987" s="367">
        <v>6</v>
      </c>
    </row>
    <row r="988" spans="1:8" ht="18.75" customHeight="1">
      <c r="A988" s="375">
        <v>1</v>
      </c>
      <c r="B988" s="582" t="s">
        <v>128</v>
      </c>
      <c r="C988" s="582"/>
      <c r="D988" s="582"/>
      <c r="E988" s="582"/>
      <c r="F988" s="582"/>
      <c r="G988" s="582"/>
      <c r="H988" s="582"/>
    </row>
    <row r="989" spans="1:8" ht="15.75">
      <c r="A989" s="376" t="s">
        <v>594</v>
      </c>
      <c r="B989" s="377" t="s">
        <v>129</v>
      </c>
      <c r="C989" s="378" t="s">
        <v>26</v>
      </c>
      <c r="D989" s="378" t="s">
        <v>26</v>
      </c>
      <c r="E989" s="378" t="s">
        <v>26</v>
      </c>
      <c r="F989" s="378" t="s">
        <v>26</v>
      </c>
      <c r="G989" s="378" t="s">
        <v>26</v>
      </c>
      <c r="H989" s="379" t="s">
        <v>130</v>
      </c>
    </row>
    <row r="990" spans="1:8" ht="15.75">
      <c r="A990" s="376" t="s">
        <v>735</v>
      </c>
      <c r="B990" s="377" t="s">
        <v>131</v>
      </c>
      <c r="C990" s="378" t="s">
        <v>26</v>
      </c>
      <c r="D990" s="378" t="s">
        <v>26</v>
      </c>
      <c r="E990" s="378" t="s">
        <v>26</v>
      </c>
      <c r="F990" s="378" t="s">
        <v>26</v>
      </c>
      <c r="G990" s="378" t="s">
        <v>26</v>
      </c>
      <c r="H990" s="379" t="s">
        <v>130</v>
      </c>
    </row>
    <row r="991" spans="1:8" ht="31.5">
      <c r="A991" s="376" t="s">
        <v>737</v>
      </c>
      <c r="B991" s="381" t="s">
        <v>132</v>
      </c>
      <c r="C991" s="566" t="s">
        <v>88</v>
      </c>
      <c r="D991" s="566" t="s">
        <v>89</v>
      </c>
      <c r="E991" s="378" t="s">
        <v>26</v>
      </c>
      <c r="F991" s="378" t="s">
        <v>26</v>
      </c>
      <c r="G991" s="378" t="s">
        <v>26</v>
      </c>
      <c r="H991" s="379" t="s">
        <v>130</v>
      </c>
    </row>
    <row r="992" spans="1:8" ht="47.25">
      <c r="A992" s="376" t="s">
        <v>739</v>
      </c>
      <c r="B992" s="381" t="s">
        <v>133</v>
      </c>
      <c r="C992" s="566" t="s">
        <v>90</v>
      </c>
      <c r="D992" s="566" t="s">
        <v>91</v>
      </c>
      <c r="E992" s="378" t="s">
        <v>26</v>
      </c>
      <c r="F992" s="378" t="s">
        <v>26</v>
      </c>
      <c r="G992" s="378" t="s">
        <v>26</v>
      </c>
      <c r="H992" s="379" t="s">
        <v>130</v>
      </c>
    </row>
    <row r="993" spans="1:8" ht="15.75">
      <c r="A993" s="376" t="s">
        <v>852</v>
      </c>
      <c r="B993" s="382" t="s">
        <v>134</v>
      </c>
      <c r="C993" s="566" t="s">
        <v>92</v>
      </c>
      <c r="D993" s="566" t="s">
        <v>93</v>
      </c>
      <c r="E993" s="378" t="s">
        <v>26</v>
      </c>
      <c r="F993" s="378" t="s">
        <v>26</v>
      </c>
      <c r="G993" s="378" t="s">
        <v>26</v>
      </c>
      <c r="H993" s="379" t="s">
        <v>130</v>
      </c>
    </row>
    <row r="994" spans="1:8" ht="15.75">
      <c r="A994" s="376" t="s">
        <v>853</v>
      </c>
      <c r="B994" s="382" t="s">
        <v>135</v>
      </c>
      <c r="C994" s="566" t="s">
        <v>88</v>
      </c>
      <c r="D994" s="566" t="s">
        <v>94</v>
      </c>
      <c r="E994" s="378" t="s">
        <v>26</v>
      </c>
      <c r="F994" s="378" t="s">
        <v>26</v>
      </c>
      <c r="G994" s="378" t="s">
        <v>26</v>
      </c>
      <c r="H994" s="379" t="s">
        <v>130</v>
      </c>
    </row>
    <row r="995" spans="1:8" ht="18.75" customHeight="1">
      <c r="A995" s="376">
        <v>2</v>
      </c>
      <c r="B995" s="579" t="s">
        <v>136</v>
      </c>
      <c r="C995" s="579"/>
      <c r="D995" s="579"/>
      <c r="E995" s="579"/>
      <c r="F995" s="579"/>
      <c r="G995" s="579"/>
      <c r="H995" s="579"/>
    </row>
    <row r="996" spans="1:8" ht="31.5">
      <c r="A996" s="376" t="s">
        <v>743</v>
      </c>
      <c r="B996" s="381" t="s">
        <v>137</v>
      </c>
      <c r="C996" s="378" t="s">
        <v>223</v>
      </c>
      <c r="D996" s="378" t="s">
        <v>224</v>
      </c>
      <c r="E996" s="378" t="s">
        <v>26</v>
      </c>
      <c r="F996" s="378" t="s">
        <v>26</v>
      </c>
      <c r="G996" s="383">
        <v>0</v>
      </c>
      <c r="H996" s="379"/>
    </row>
    <row r="997" spans="1:8" ht="47.25">
      <c r="A997" s="376" t="s">
        <v>746</v>
      </c>
      <c r="B997" s="381" t="s">
        <v>140</v>
      </c>
      <c r="C997" s="378" t="s">
        <v>26</v>
      </c>
      <c r="D997" s="378" t="s">
        <v>26</v>
      </c>
      <c r="E997" s="378" t="s">
        <v>26</v>
      </c>
      <c r="F997" s="378" t="s">
        <v>26</v>
      </c>
      <c r="G997" s="378" t="s">
        <v>26</v>
      </c>
      <c r="H997" s="379" t="s">
        <v>130</v>
      </c>
    </row>
    <row r="998" spans="1:8" ht="31.5">
      <c r="A998" s="376" t="s">
        <v>141</v>
      </c>
      <c r="B998" s="381" t="s">
        <v>142</v>
      </c>
      <c r="C998" s="378" t="s">
        <v>26</v>
      </c>
      <c r="D998" s="378" t="s">
        <v>26</v>
      </c>
      <c r="E998" s="378" t="s">
        <v>26</v>
      </c>
      <c r="F998" s="378" t="s">
        <v>26</v>
      </c>
      <c r="G998" s="378" t="s">
        <v>26</v>
      </c>
      <c r="H998" s="379" t="s">
        <v>130</v>
      </c>
    </row>
    <row r="999" spans="1:8" ht="18.75" customHeight="1">
      <c r="A999" s="376">
        <v>3</v>
      </c>
      <c r="B999" s="579" t="s">
        <v>184</v>
      </c>
      <c r="C999" s="579"/>
      <c r="D999" s="579"/>
      <c r="E999" s="579"/>
      <c r="F999" s="579"/>
      <c r="G999" s="579"/>
      <c r="H999" s="579"/>
    </row>
    <row r="1000" spans="1:8" ht="31.5">
      <c r="A1000" s="376" t="s">
        <v>756</v>
      </c>
      <c r="B1000" s="382" t="s">
        <v>144</v>
      </c>
      <c r="C1000" s="378" t="s">
        <v>26</v>
      </c>
      <c r="D1000" s="378" t="s">
        <v>26</v>
      </c>
      <c r="E1000" s="378" t="s">
        <v>26</v>
      </c>
      <c r="F1000" s="378" t="s">
        <v>26</v>
      </c>
      <c r="G1000" s="378" t="s">
        <v>26</v>
      </c>
      <c r="H1000" s="379" t="s">
        <v>130</v>
      </c>
    </row>
    <row r="1001" spans="1:8" ht="15.75">
      <c r="A1001" s="376" t="s">
        <v>757</v>
      </c>
      <c r="B1001" s="382" t="s">
        <v>145</v>
      </c>
      <c r="C1001" s="378" t="s">
        <v>223</v>
      </c>
      <c r="D1001" s="378" t="s">
        <v>225</v>
      </c>
      <c r="E1001" s="378" t="s">
        <v>26</v>
      </c>
      <c r="F1001" s="378" t="s">
        <v>26</v>
      </c>
      <c r="G1001" s="383">
        <v>0</v>
      </c>
      <c r="H1001" s="379"/>
    </row>
    <row r="1002" spans="1:8" ht="15.75">
      <c r="A1002" s="376" t="s">
        <v>147</v>
      </c>
      <c r="B1002" s="382" t="s">
        <v>148</v>
      </c>
      <c r="C1002" s="378" t="s">
        <v>225</v>
      </c>
      <c r="D1002" s="378" t="s">
        <v>226</v>
      </c>
      <c r="E1002" s="378" t="s">
        <v>26</v>
      </c>
      <c r="F1002" s="378" t="s">
        <v>26</v>
      </c>
      <c r="G1002" s="383">
        <v>0</v>
      </c>
      <c r="H1002" s="379"/>
    </row>
    <row r="1003" spans="1:8" ht="15.75">
      <c r="A1003" s="376" t="s">
        <v>151</v>
      </c>
      <c r="B1003" s="382" t="s">
        <v>152</v>
      </c>
      <c r="C1003" s="378" t="s">
        <v>227</v>
      </c>
      <c r="D1003" s="378" t="s">
        <v>228</v>
      </c>
      <c r="E1003" s="378" t="s">
        <v>26</v>
      </c>
      <c r="F1003" s="378" t="s">
        <v>26</v>
      </c>
      <c r="G1003" s="383">
        <v>0</v>
      </c>
      <c r="H1003" s="379"/>
    </row>
    <row r="1004" spans="1:8" ht="15.75">
      <c r="A1004" s="376" t="s">
        <v>155</v>
      </c>
      <c r="B1004" s="382" t="s">
        <v>156</v>
      </c>
      <c r="C1004" s="378" t="s">
        <v>229</v>
      </c>
      <c r="D1004" s="378" t="s">
        <v>230</v>
      </c>
      <c r="E1004" s="378" t="s">
        <v>26</v>
      </c>
      <c r="F1004" s="378" t="s">
        <v>26</v>
      </c>
      <c r="G1004" s="383">
        <v>0</v>
      </c>
      <c r="H1004" s="379"/>
    </row>
    <row r="1005" spans="1:8" ht="18.75" customHeight="1">
      <c r="A1005" s="376">
        <v>4</v>
      </c>
      <c r="B1005" s="579" t="s">
        <v>159</v>
      </c>
      <c r="C1005" s="579"/>
      <c r="D1005" s="579"/>
      <c r="E1005" s="579"/>
      <c r="F1005" s="579"/>
      <c r="G1005" s="579"/>
      <c r="H1005" s="579"/>
    </row>
    <row r="1006" spans="1:8" ht="31.5">
      <c r="A1006" s="376" t="s">
        <v>160</v>
      </c>
      <c r="B1006" s="381" t="s">
        <v>161</v>
      </c>
      <c r="C1006" s="378" t="s">
        <v>26</v>
      </c>
      <c r="D1006" s="378" t="s">
        <v>26</v>
      </c>
      <c r="E1006" s="378" t="s">
        <v>26</v>
      </c>
      <c r="F1006" s="378" t="s">
        <v>26</v>
      </c>
      <c r="G1006" s="378" t="s">
        <v>26</v>
      </c>
      <c r="H1006" s="379" t="s">
        <v>130</v>
      </c>
    </row>
    <row r="1007" spans="1:8" ht="47.25">
      <c r="A1007" s="376" t="s">
        <v>162</v>
      </c>
      <c r="B1007" s="381" t="s">
        <v>163</v>
      </c>
      <c r="C1007" s="378" t="s">
        <v>26</v>
      </c>
      <c r="D1007" s="378" t="s">
        <v>26</v>
      </c>
      <c r="E1007" s="378" t="s">
        <v>26</v>
      </c>
      <c r="F1007" s="378" t="s">
        <v>26</v>
      </c>
      <c r="G1007" s="378" t="s">
        <v>26</v>
      </c>
      <c r="H1007" s="379" t="s">
        <v>130</v>
      </c>
    </row>
    <row r="1008" spans="1:8" ht="31.5">
      <c r="A1008" s="376" t="s">
        <v>164</v>
      </c>
      <c r="B1008" s="382" t="s">
        <v>165</v>
      </c>
      <c r="C1008" s="378" t="s">
        <v>26</v>
      </c>
      <c r="D1008" s="378" t="s">
        <v>26</v>
      </c>
      <c r="E1008" s="378" t="s">
        <v>26</v>
      </c>
      <c r="F1008" s="378" t="s">
        <v>26</v>
      </c>
      <c r="G1008" s="378" t="s">
        <v>26</v>
      </c>
      <c r="H1008" s="379" t="s">
        <v>130</v>
      </c>
    </row>
    <row r="1009" spans="1:8" ht="31.5">
      <c r="A1009" s="384" t="s">
        <v>166</v>
      </c>
      <c r="B1009" s="385" t="s">
        <v>167</v>
      </c>
      <c r="C1009" s="386" t="s">
        <v>26</v>
      </c>
      <c r="D1009" s="386" t="s">
        <v>26</v>
      </c>
      <c r="E1009" s="386" t="s">
        <v>26</v>
      </c>
      <c r="F1009" s="386" t="s">
        <v>26</v>
      </c>
      <c r="G1009" s="386" t="s">
        <v>26</v>
      </c>
      <c r="H1009" s="387" t="s">
        <v>130</v>
      </c>
    </row>
    <row r="1010" spans="1:8" ht="15.75">
      <c r="A1010" s="388"/>
      <c r="B1010" s="389"/>
      <c r="C1010" s="390"/>
      <c r="D1010" s="390"/>
      <c r="E1010" s="390"/>
      <c r="F1010" s="390"/>
      <c r="G1010" s="390"/>
      <c r="H1010" s="98"/>
    </row>
    <row r="1011" spans="1:8" ht="18.75" customHeight="1">
      <c r="A1011" s="580" t="s">
        <v>168</v>
      </c>
      <c r="B1011" s="580"/>
      <c r="C1011" s="580"/>
      <c r="D1011" s="580"/>
      <c r="E1011" s="580"/>
      <c r="F1011" s="580"/>
      <c r="G1011" s="580"/>
      <c r="H1011" s="580"/>
    </row>
    <row r="1014" ht="15.75">
      <c r="H1014" s="6" t="s">
        <v>113</v>
      </c>
    </row>
    <row r="1015" ht="15.75">
      <c r="H1015" s="6" t="s">
        <v>114</v>
      </c>
    </row>
    <row r="1016" ht="15.75">
      <c r="H1016" s="6" t="s">
        <v>115</v>
      </c>
    </row>
    <row r="1017" ht="15.75">
      <c r="H1017" s="6"/>
    </row>
    <row r="1018" spans="1:8" ht="18.75" customHeight="1">
      <c r="A1018" s="622" t="s">
        <v>116</v>
      </c>
      <c r="B1018" s="622"/>
      <c r="C1018" s="622"/>
      <c r="D1018" s="622"/>
      <c r="E1018" s="622"/>
      <c r="F1018" s="622"/>
      <c r="G1018" s="622"/>
      <c r="H1018" s="622"/>
    </row>
    <row r="1019" spans="1:8" ht="18.75" customHeight="1">
      <c r="A1019" s="622" t="s">
        <v>117</v>
      </c>
      <c r="B1019" s="622"/>
      <c r="C1019" s="622"/>
      <c r="D1019" s="622"/>
      <c r="E1019" s="622"/>
      <c r="F1019" s="622"/>
      <c r="G1019" s="622"/>
      <c r="H1019" s="622"/>
    </row>
    <row r="1020" ht="15.75">
      <c r="H1020" s="6" t="s">
        <v>562</v>
      </c>
    </row>
    <row r="1021" ht="15.75">
      <c r="H1021" s="6" t="s">
        <v>769</v>
      </c>
    </row>
    <row r="1022" ht="15.75">
      <c r="H1022" s="6" t="s">
        <v>770</v>
      </c>
    </row>
    <row r="1023" ht="15.75">
      <c r="H1023" s="361" t="str">
        <f>H11</f>
        <v>                         Добровольский К.А.</v>
      </c>
    </row>
    <row r="1024" ht="15.75">
      <c r="H1024" s="6" t="s">
        <v>772</v>
      </c>
    </row>
    <row r="1025" ht="15.75">
      <c r="H1025" s="6" t="s">
        <v>567</v>
      </c>
    </row>
    <row r="1026" ht="15.75">
      <c r="A1026" s="362"/>
    </row>
    <row r="1027" ht="15.75">
      <c r="A1027" s="3" t="s">
        <v>232</v>
      </c>
    </row>
    <row r="1028" spans="1:8" ht="18.75" customHeight="1">
      <c r="A1028" s="623" t="s">
        <v>120</v>
      </c>
      <c r="B1028" s="623"/>
      <c r="C1028" s="623"/>
      <c r="D1028" s="623"/>
      <c r="E1028" s="623"/>
      <c r="F1028" s="623"/>
      <c r="G1028" s="623"/>
      <c r="H1028" s="623"/>
    </row>
    <row r="1029" spans="1:8" ht="15.75">
      <c r="A1029" s="364"/>
      <c r="B1029" s="364"/>
      <c r="C1029" s="366"/>
      <c r="D1029" s="366"/>
      <c r="E1029" s="366"/>
      <c r="F1029" s="366"/>
      <c r="G1029" s="366"/>
      <c r="H1029" s="366"/>
    </row>
    <row r="1030" spans="1:8" ht="16.5" customHeight="1">
      <c r="A1030" s="581" t="s">
        <v>121</v>
      </c>
      <c r="B1030" s="559" t="s">
        <v>122</v>
      </c>
      <c r="C1030" s="560" t="s">
        <v>123</v>
      </c>
      <c r="D1030" s="560"/>
      <c r="E1030" s="560"/>
      <c r="F1030" s="560"/>
      <c r="G1030" s="561" t="s">
        <v>124</v>
      </c>
      <c r="H1030" s="581" t="s">
        <v>125</v>
      </c>
    </row>
    <row r="1031" spans="1:8" ht="15.75">
      <c r="A1031" s="581"/>
      <c r="B1031" s="559"/>
      <c r="C1031" s="560"/>
      <c r="D1031" s="560"/>
      <c r="E1031" s="560"/>
      <c r="F1031" s="560"/>
      <c r="G1031" s="561"/>
      <c r="H1031" s="581"/>
    </row>
    <row r="1032" spans="1:8" ht="31.5">
      <c r="A1032" s="581"/>
      <c r="B1032" s="559"/>
      <c r="C1032" s="369" t="s">
        <v>126</v>
      </c>
      <c r="D1032" s="369" t="s">
        <v>127</v>
      </c>
      <c r="E1032" s="370" t="s">
        <v>126</v>
      </c>
      <c r="F1032" s="371" t="s">
        <v>127</v>
      </c>
      <c r="G1032" s="561"/>
      <c r="H1032" s="581"/>
    </row>
    <row r="1033" spans="1:8" ht="15.75">
      <c r="A1033" s="367">
        <v>1</v>
      </c>
      <c r="B1033" s="367">
        <v>2</v>
      </c>
      <c r="C1033" s="372">
        <v>3</v>
      </c>
      <c r="D1033" s="372">
        <v>4</v>
      </c>
      <c r="E1033" s="373"/>
      <c r="F1033" s="374"/>
      <c r="G1033" s="368">
        <v>5</v>
      </c>
      <c r="H1033" s="367">
        <v>6</v>
      </c>
    </row>
    <row r="1034" spans="1:8" ht="18.75" customHeight="1">
      <c r="A1034" s="375">
        <v>1</v>
      </c>
      <c r="B1034" s="582" t="s">
        <v>128</v>
      </c>
      <c r="C1034" s="582"/>
      <c r="D1034" s="582"/>
      <c r="E1034" s="582"/>
      <c r="F1034" s="582"/>
      <c r="G1034" s="582"/>
      <c r="H1034" s="582"/>
    </row>
    <row r="1035" spans="1:8" ht="15.75">
      <c r="A1035" s="376" t="s">
        <v>594</v>
      </c>
      <c r="B1035" s="377" t="s">
        <v>129</v>
      </c>
      <c r="C1035" s="378" t="s">
        <v>26</v>
      </c>
      <c r="D1035" s="378" t="s">
        <v>26</v>
      </c>
      <c r="E1035" s="378" t="s">
        <v>26</v>
      </c>
      <c r="F1035" s="378" t="s">
        <v>26</v>
      </c>
      <c r="G1035" s="378" t="s">
        <v>26</v>
      </c>
      <c r="H1035" s="379" t="s">
        <v>130</v>
      </c>
    </row>
    <row r="1036" spans="1:8" ht="15.75">
      <c r="A1036" s="376" t="s">
        <v>735</v>
      </c>
      <c r="B1036" s="377" t="s">
        <v>131</v>
      </c>
      <c r="C1036" s="378" t="s">
        <v>26</v>
      </c>
      <c r="D1036" s="378" t="s">
        <v>26</v>
      </c>
      <c r="E1036" s="378" t="s">
        <v>26</v>
      </c>
      <c r="F1036" s="378" t="s">
        <v>26</v>
      </c>
      <c r="G1036" s="378" t="s">
        <v>26</v>
      </c>
      <c r="H1036" s="379" t="s">
        <v>130</v>
      </c>
    </row>
    <row r="1037" spans="1:8" ht="31.5">
      <c r="A1037" s="376" t="s">
        <v>737</v>
      </c>
      <c r="B1037" s="381" t="s">
        <v>132</v>
      </c>
      <c r="C1037" s="566" t="s">
        <v>88</v>
      </c>
      <c r="D1037" s="566" t="s">
        <v>89</v>
      </c>
      <c r="E1037" s="378" t="s">
        <v>26</v>
      </c>
      <c r="F1037" s="378" t="s">
        <v>26</v>
      </c>
      <c r="G1037" s="378" t="s">
        <v>26</v>
      </c>
      <c r="H1037" s="379" t="s">
        <v>130</v>
      </c>
    </row>
    <row r="1038" spans="1:8" ht="47.25">
      <c r="A1038" s="376" t="s">
        <v>739</v>
      </c>
      <c r="B1038" s="381" t="s">
        <v>133</v>
      </c>
      <c r="C1038" s="566" t="s">
        <v>90</v>
      </c>
      <c r="D1038" s="566" t="s">
        <v>91</v>
      </c>
      <c r="E1038" s="378" t="s">
        <v>26</v>
      </c>
      <c r="F1038" s="378" t="s">
        <v>26</v>
      </c>
      <c r="G1038" s="378" t="s">
        <v>26</v>
      </c>
      <c r="H1038" s="379" t="s">
        <v>130</v>
      </c>
    </row>
    <row r="1039" spans="1:8" ht="15.75">
      <c r="A1039" s="376" t="s">
        <v>852</v>
      </c>
      <c r="B1039" s="382" t="s">
        <v>134</v>
      </c>
      <c r="C1039" s="566" t="s">
        <v>92</v>
      </c>
      <c r="D1039" s="566" t="s">
        <v>93</v>
      </c>
      <c r="E1039" s="378" t="s">
        <v>26</v>
      </c>
      <c r="F1039" s="378" t="s">
        <v>26</v>
      </c>
      <c r="G1039" s="378" t="s">
        <v>26</v>
      </c>
      <c r="H1039" s="379" t="s">
        <v>130</v>
      </c>
    </row>
    <row r="1040" spans="1:8" ht="15.75">
      <c r="A1040" s="376" t="s">
        <v>853</v>
      </c>
      <c r="B1040" s="382" t="s">
        <v>135</v>
      </c>
      <c r="C1040" s="566" t="s">
        <v>88</v>
      </c>
      <c r="D1040" s="566" t="s">
        <v>94</v>
      </c>
      <c r="E1040" s="378" t="s">
        <v>26</v>
      </c>
      <c r="F1040" s="378" t="s">
        <v>26</v>
      </c>
      <c r="G1040" s="378" t="s">
        <v>26</v>
      </c>
      <c r="H1040" s="379" t="s">
        <v>130</v>
      </c>
    </row>
    <row r="1041" spans="1:8" ht="18.75" customHeight="1">
      <c r="A1041" s="376">
        <v>2</v>
      </c>
      <c r="B1041" s="579" t="s">
        <v>136</v>
      </c>
      <c r="C1041" s="579"/>
      <c r="D1041" s="579"/>
      <c r="E1041" s="579"/>
      <c r="F1041" s="579"/>
      <c r="G1041" s="579"/>
      <c r="H1041" s="579"/>
    </row>
    <row r="1042" spans="1:8" ht="31.5">
      <c r="A1042" s="376" t="s">
        <v>743</v>
      </c>
      <c r="B1042" s="381" t="s">
        <v>137</v>
      </c>
      <c r="C1042" s="378" t="s">
        <v>223</v>
      </c>
      <c r="D1042" s="378" t="s">
        <v>224</v>
      </c>
      <c r="E1042" s="378" t="s">
        <v>26</v>
      </c>
      <c r="F1042" s="378" t="s">
        <v>26</v>
      </c>
      <c r="G1042" s="383">
        <v>0</v>
      </c>
      <c r="H1042" s="379"/>
    </row>
    <row r="1043" spans="1:8" ht="47.25">
      <c r="A1043" s="376" t="s">
        <v>746</v>
      </c>
      <c r="B1043" s="381" t="s">
        <v>140</v>
      </c>
      <c r="C1043" s="378" t="s">
        <v>26</v>
      </c>
      <c r="D1043" s="378" t="s">
        <v>26</v>
      </c>
      <c r="E1043" s="378" t="s">
        <v>26</v>
      </c>
      <c r="F1043" s="378" t="s">
        <v>26</v>
      </c>
      <c r="G1043" s="378" t="s">
        <v>26</v>
      </c>
      <c r="H1043" s="379" t="s">
        <v>130</v>
      </c>
    </row>
    <row r="1044" spans="1:8" ht="31.5">
      <c r="A1044" s="376" t="s">
        <v>141</v>
      </c>
      <c r="B1044" s="381" t="s">
        <v>142</v>
      </c>
      <c r="C1044" s="378" t="s">
        <v>26</v>
      </c>
      <c r="D1044" s="378" t="s">
        <v>26</v>
      </c>
      <c r="E1044" s="378" t="s">
        <v>26</v>
      </c>
      <c r="F1044" s="378" t="s">
        <v>26</v>
      </c>
      <c r="G1044" s="378" t="s">
        <v>26</v>
      </c>
      <c r="H1044" s="379" t="s">
        <v>130</v>
      </c>
    </row>
    <row r="1045" spans="1:8" ht="18.75" customHeight="1">
      <c r="A1045" s="376">
        <v>3</v>
      </c>
      <c r="B1045" s="579" t="s">
        <v>184</v>
      </c>
      <c r="C1045" s="579"/>
      <c r="D1045" s="579"/>
      <c r="E1045" s="579"/>
      <c r="F1045" s="579"/>
      <c r="G1045" s="579"/>
      <c r="H1045" s="579"/>
    </row>
    <row r="1046" spans="1:8" ht="31.5">
      <c r="A1046" s="376" t="s">
        <v>756</v>
      </c>
      <c r="B1046" s="382" t="s">
        <v>144</v>
      </c>
      <c r="C1046" s="378" t="s">
        <v>26</v>
      </c>
      <c r="D1046" s="378" t="s">
        <v>26</v>
      </c>
      <c r="E1046" s="378" t="s">
        <v>26</v>
      </c>
      <c r="F1046" s="378" t="s">
        <v>26</v>
      </c>
      <c r="G1046" s="378" t="s">
        <v>26</v>
      </c>
      <c r="H1046" s="379" t="s">
        <v>130</v>
      </c>
    </row>
    <row r="1047" spans="1:8" ht="15.75">
      <c r="A1047" s="376" t="s">
        <v>757</v>
      </c>
      <c r="B1047" s="382" t="s">
        <v>145</v>
      </c>
      <c r="C1047" s="378" t="s">
        <v>223</v>
      </c>
      <c r="D1047" s="378" t="s">
        <v>225</v>
      </c>
      <c r="E1047" s="378" t="s">
        <v>26</v>
      </c>
      <c r="F1047" s="378" t="s">
        <v>26</v>
      </c>
      <c r="G1047" s="383">
        <v>0</v>
      </c>
      <c r="H1047" s="379"/>
    </row>
    <row r="1048" spans="1:8" ht="15.75">
      <c r="A1048" s="376" t="s">
        <v>147</v>
      </c>
      <c r="B1048" s="382" t="s">
        <v>148</v>
      </c>
      <c r="C1048" s="378" t="s">
        <v>225</v>
      </c>
      <c r="D1048" s="378" t="s">
        <v>226</v>
      </c>
      <c r="E1048" s="378" t="s">
        <v>26</v>
      </c>
      <c r="F1048" s="378" t="s">
        <v>26</v>
      </c>
      <c r="G1048" s="383">
        <v>0</v>
      </c>
      <c r="H1048" s="379"/>
    </row>
    <row r="1049" spans="1:8" ht="15.75">
      <c r="A1049" s="376" t="s">
        <v>151</v>
      </c>
      <c r="B1049" s="382" t="s">
        <v>152</v>
      </c>
      <c r="C1049" s="378" t="s">
        <v>227</v>
      </c>
      <c r="D1049" s="378" t="s">
        <v>228</v>
      </c>
      <c r="E1049" s="378" t="s">
        <v>26</v>
      </c>
      <c r="F1049" s="378" t="s">
        <v>26</v>
      </c>
      <c r="G1049" s="383">
        <v>0</v>
      </c>
      <c r="H1049" s="379"/>
    </row>
    <row r="1050" spans="1:8" ht="15.75">
      <c r="A1050" s="376" t="s">
        <v>155</v>
      </c>
      <c r="B1050" s="382" t="s">
        <v>156</v>
      </c>
      <c r="C1050" s="378" t="s">
        <v>229</v>
      </c>
      <c r="D1050" s="378" t="s">
        <v>230</v>
      </c>
      <c r="E1050" s="378" t="s">
        <v>26</v>
      </c>
      <c r="F1050" s="378" t="s">
        <v>26</v>
      </c>
      <c r="G1050" s="383">
        <v>0</v>
      </c>
      <c r="H1050" s="379"/>
    </row>
    <row r="1051" spans="1:8" ht="18.75" customHeight="1">
      <c r="A1051" s="376">
        <v>4</v>
      </c>
      <c r="B1051" s="579" t="s">
        <v>159</v>
      </c>
      <c r="C1051" s="579"/>
      <c r="D1051" s="579"/>
      <c r="E1051" s="579"/>
      <c r="F1051" s="579"/>
      <c r="G1051" s="579"/>
      <c r="H1051" s="579"/>
    </row>
    <row r="1052" spans="1:8" ht="31.5">
      <c r="A1052" s="376" t="s">
        <v>160</v>
      </c>
      <c r="B1052" s="381" t="s">
        <v>161</v>
      </c>
      <c r="C1052" s="378" t="s">
        <v>26</v>
      </c>
      <c r="D1052" s="378" t="s">
        <v>26</v>
      </c>
      <c r="E1052" s="378" t="s">
        <v>26</v>
      </c>
      <c r="F1052" s="378" t="s">
        <v>26</v>
      </c>
      <c r="G1052" s="378" t="s">
        <v>26</v>
      </c>
      <c r="H1052" s="379" t="s">
        <v>130</v>
      </c>
    </row>
    <row r="1053" spans="1:8" ht="47.25">
      <c r="A1053" s="376" t="s">
        <v>162</v>
      </c>
      <c r="B1053" s="381" t="s">
        <v>163</v>
      </c>
      <c r="C1053" s="378" t="s">
        <v>26</v>
      </c>
      <c r="D1053" s="378" t="s">
        <v>26</v>
      </c>
      <c r="E1053" s="378" t="s">
        <v>26</v>
      </c>
      <c r="F1053" s="378" t="s">
        <v>26</v>
      </c>
      <c r="G1053" s="378" t="s">
        <v>26</v>
      </c>
      <c r="H1053" s="379" t="s">
        <v>130</v>
      </c>
    </row>
    <row r="1054" spans="1:8" ht="31.5">
      <c r="A1054" s="376" t="s">
        <v>164</v>
      </c>
      <c r="B1054" s="382" t="s">
        <v>165</v>
      </c>
      <c r="C1054" s="378" t="s">
        <v>26</v>
      </c>
      <c r="D1054" s="378" t="s">
        <v>26</v>
      </c>
      <c r="E1054" s="378" t="s">
        <v>26</v>
      </c>
      <c r="F1054" s="378" t="s">
        <v>26</v>
      </c>
      <c r="G1054" s="378" t="s">
        <v>26</v>
      </c>
      <c r="H1054" s="379" t="s">
        <v>130</v>
      </c>
    </row>
    <row r="1055" spans="1:8" ht="31.5">
      <c r="A1055" s="384" t="s">
        <v>166</v>
      </c>
      <c r="B1055" s="385" t="s">
        <v>167</v>
      </c>
      <c r="C1055" s="386" t="s">
        <v>26</v>
      </c>
      <c r="D1055" s="386" t="s">
        <v>26</v>
      </c>
      <c r="E1055" s="386" t="s">
        <v>26</v>
      </c>
      <c r="F1055" s="386" t="s">
        <v>26</v>
      </c>
      <c r="G1055" s="386" t="s">
        <v>26</v>
      </c>
      <c r="H1055" s="387" t="s">
        <v>130</v>
      </c>
    </row>
    <row r="1056" spans="1:8" ht="15.75">
      <c r="A1056" s="388"/>
      <c r="B1056" s="389"/>
      <c r="C1056" s="390"/>
      <c r="D1056" s="390"/>
      <c r="E1056" s="390"/>
      <c r="F1056" s="390"/>
      <c r="G1056" s="390"/>
      <c r="H1056" s="98"/>
    </row>
    <row r="1057" spans="1:8" ht="18.75" customHeight="1">
      <c r="A1057" s="580" t="s">
        <v>168</v>
      </c>
      <c r="B1057" s="580"/>
      <c r="C1057" s="580"/>
      <c r="D1057" s="580"/>
      <c r="E1057" s="580"/>
      <c r="F1057" s="580"/>
      <c r="G1057" s="580"/>
      <c r="H1057" s="580"/>
    </row>
    <row r="1060" ht="15.75">
      <c r="H1060" s="6" t="s">
        <v>113</v>
      </c>
    </row>
    <row r="1061" ht="15.75">
      <c r="H1061" s="6" t="s">
        <v>114</v>
      </c>
    </row>
    <row r="1062" ht="15.75">
      <c r="H1062" s="6" t="s">
        <v>115</v>
      </c>
    </row>
    <row r="1063" ht="15.75">
      <c r="H1063" s="6"/>
    </row>
    <row r="1064" spans="1:8" ht="18.75" customHeight="1">
      <c r="A1064" s="622" t="s">
        <v>116</v>
      </c>
      <c r="B1064" s="622"/>
      <c r="C1064" s="622"/>
      <c r="D1064" s="622"/>
      <c r="E1064" s="622"/>
      <c r="F1064" s="622"/>
      <c r="G1064" s="622"/>
      <c r="H1064" s="622"/>
    </row>
    <row r="1065" spans="1:8" ht="18.75" customHeight="1">
      <c r="A1065" s="622" t="s">
        <v>117</v>
      </c>
      <c r="B1065" s="622"/>
      <c r="C1065" s="622"/>
      <c r="D1065" s="622"/>
      <c r="E1065" s="622"/>
      <c r="F1065" s="622"/>
      <c r="G1065" s="622"/>
      <c r="H1065" s="622"/>
    </row>
    <row r="1066" ht="15.75">
      <c r="H1066" s="6" t="s">
        <v>562</v>
      </c>
    </row>
    <row r="1067" ht="15.75">
      <c r="H1067" s="6" t="s">
        <v>769</v>
      </c>
    </row>
    <row r="1068" ht="15.75">
      <c r="H1068" s="6" t="s">
        <v>770</v>
      </c>
    </row>
    <row r="1069" ht="15.75">
      <c r="H1069" s="361" t="str">
        <f>H11</f>
        <v>                         Добровольский К.А.</v>
      </c>
    </row>
    <row r="1070" ht="15.75">
      <c r="H1070" s="6" t="s">
        <v>772</v>
      </c>
    </row>
    <row r="1071" ht="15.75">
      <c r="H1071" s="6" t="s">
        <v>567</v>
      </c>
    </row>
    <row r="1072" ht="15.75">
      <c r="A1072" s="362"/>
    </row>
    <row r="1073" ht="15.75">
      <c r="A1073" s="343" t="s">
        <v>95</v>
      </c>
    </row>
    <row r="1074" spans="1:8" ht="18.75" customHeight="1">
      <c r="A1074" s="623" t="s">
        <v>120</v>
      </c>
      <c r="B1074" s="623"/>
      <c r="C1074" s="623"/>
      <c r="D1074" s="623"/>
      <c r="E1074" s="623"/>
      <c r="F1074" s="623"/>
      <c r="G1074" s="623"/>
      <c r="H1074" s="623"/>
    </row>
    <row r="1075" spans="1:8" ht="15.75">
      <c r="A1075" s="364"/>
      <c r="B1075" s="364"/>
      <c r="C1075" s="366"/>
      <c r="D1075" s="366"/>
      <c r="E1075" s="366"/>
      <c r="F1075" s="366"/>
      <c r="G1075" s="366"/>
      <c r="H1075" s="366"/>
    </row>
    <row r="1076" spans="1:8" ht="16.5" customHeight="1">
      <c r="A1076" s="581" t="s">
        <v>121</v>
      </c>
      <c r="B1076" s="559" t="s">
        <v>122</v>
      </c>
      <c r="C1076" s="560" t="s">
        <v>123</v>
      </c>
      <c r="D1076" s="560"/>
      <c r="E1076" s="560"/>
      <c r="F1076" s="560"/>
      <c r="G1076" s="561" t="s">
        <v>124</v>
      </c>
      <c r="H1076" s="581" t="s">
        <v>125</v>
      </c>
    </row>
    <row r="1077" spans="1:8" ht="15.75">
      <c r="A1077" s="581"/>
      <c r="B1077" s="559"/>
      <c r="C1077" s="560"/>
      <c r="D1077" s="560"/>
      <c r="E1077" s="560"/>
      <c r="F1077" s="560"/>
      <c r="G1077" s="561"/>
      <c r="H1077" s="581"/>
    </row>
    <row r="1078" spans="1:8" ht="31.5">
      <c r="A1078" s="581"/>
      <c r="B1078" s="559"/>
      <c r="C1078" s="369" t="s">
        <v>126</v>
      </c>
      <c r="D1078" s="369" t="s">
        <v>127</v>
      </c>
      <c r="E1078" s="370" t="s">
        <v>126</v>
      </c>
      <c r="F1078" s="371" t="s">
        <v>127</v>
      </c>
      <c r="G1078" s="561"/>
      <c r="H1078" s="581"/>
    </row>
    <row r="1079" spans="1:8" ht="15.75">
      <c r="A1079" s="367">
        <v>1</v>
      </c>
      <c r="B1079" s="367">
        <v>2</v>
      </c>
      <c r="C1079" s="372">
        <v>3</v>
      </c>
      <c r="D1079" s="372">
        <v>4</v>
      </c>
      <c r="E1079" s="373"/>
      <c r="F1079" s="374"/>
      <c r="G1079" s="368">
        <v>5</v>
      </c>
      <c r="H1079" s="367">
        <v>6</v>
      </c>
    </row>
    <row r="1080" spans="1:8" ht="18.75" customHeight="1">
      <c r="A1080" s="375">
        <v>1</v>
      </c>
      <c r="B1080" s="582" t="s">
        <v>128</v>
      </c>
      <c r="C1080" s="582"/>
      <c r="D1080" s="582"/>
      <c r="E1080" s="582"/>
      <c r="F1080" s="582"/>
      <c r="G1080" s="582"/>
      <c r="H1080" s="582"/>
    </row>
    <row r="1081" spans="1:8" ht="15.75">
      <c r="A1081" s="376" t="s">
        <v>594</v>
      </c>
      <c r="B1081" s="377" t="s">
        <v>129</v>
      </c>
      <c r="C1081" s="378" t="s">
        <v>26</v>
      </c>
      <c r="D1081" s="378" t="s">
        <v>26</v>
      </c>
      <c r="E1081" s="378" t="s">
        <v>26</v>
      </c>
      <c r="F1081" s="378" t="s">
        <v>26</v>
      </c>
      <c r="G1081" s="378" t="s">
        <v>26</v>
      </c>
      <c r="H1081" s="379" t="s">
        <v>130</v>
      </c>
    </row>
    <row r="1082" spans="1:8" ht="15.75">
      <c r="A1082" s="376" t="s">
        <v>735</v>
      </c>
      <c r="B1082" s="377" t="s">
        <v>131</v>
      </c>
      <c r="C1082" s="378" t="s">
        <v>26</v>
      </c>
      <c r="D1082" s="378" t="s">
        <v>26</v>
      </c>
      <c r="E1082" s="378" t="s">
        <v>26</v>
      </c>
      <c r="F1082" s="378" t="s">
        <v>26</v>
      </c>
      <c r="G1082" s="378" t="s">
        <v>26</v>
      </c>
      <c r="H1082" s="379" t="s">
        <v>130</v>
      </c>
    </row>
    <row r="1083" spans="1:8" ht="31.5">
      <c r="A1083" s="376" t="s">
        <v>737</v>
      </c>
      <c r="B1083" s="381" t="s">
        <v>132</v>
      </c>
      <c r="C1083" s="566" t="s">
        <v>88</v>
      </c>
      <c r="D1083" s="566" t="s">
        <v>89</v>
      </c>
      <c r="E1083" s="378" t="s">
        <v>26</v>
      </c>
      <c r="F1083" s="378" t="s">
        <v>26</v>
      </c>
      <c r="G1083" s="378" t="s">
        <v>26</v>
      </c>
      <c r="H1083" s="379" t="s">
        <v>130</v>
      </c>
    </row>
    <row r="1084" spans="1:8" ht="47.25">
      <c r="A1084" s="376" t="s">
        <v>739</v>
      </c>
      <c r="B1084" s="381" t="s">
        <v>133</v>
      </c>
      <c r="C1084" s="566" t="s">
        <v>90</v>
      </c>
      <c r="D1084" s="566" t="s">
        <v>91</v>
      </c>
      <c r="E1084" s="378" t="s">
        <v>26</v>
      </c>
      <c r="F1084" s="378" t="s">
        <v>26</v>
      </c>
      <c r="G1084" s="378" t="s">
        <v>26</v>
      </c>
      <c r="H1084" s="379" t="s">
        <v>130</v>
      </c>
    </row>
    <row r="1085" spans="1:8" ht="15.75">
      <c r="A1085" s="376" t="s">
        <v>852</v>
      </c>
      <c r="B1085" s="382" t="s">
        <v>134</v>
      </c>
      <c r="C1085" s="566" t="s">
        <v>92</v>
      </c>
      <c r="D1085" s="566" t="s">
        <v>93</v>
      </c>
      <c r="E1085" s="378" t="s">
        <v>26</v>
      </c>
      <c r="F1085" s="378" t="s">
        <v>26</v>
      </c>
      <c r="G1085" s="378" t="s">
        <v>26</v>
      </c>
      <c r="H1085" s="379" t="s">
        <v>130</v>
      </c>
    </row>
    <row r="1086" spans="1:8" ht="15.75">
      <c r="A1086" s="376" t="s">
        <v>853</v>
      </c>
      <c r="B1086" s="382" t="s">
        <v>135</v>
      </c>
      <c r="C1086" s="566" t="s">
        <v>88</v>
      </c>
      <c r="D1086" s="566" t="s">
        <v>94</v>
      </c>
      <c r="E1086" s="378" t="s">
        <v>26</v>
      </c>
      <c r="F1086" s="378" t="s">
        <v>26</v>
      </c>
      <c r="G1086" s="378" t="s">
        <v>26</v>
      </c>
      <c r="H1086" s="379" t="s">
        <v>130</v>
      </c>
    </row>
    <row r="1087" spans="1:8" ht="18.75" customHeight="1">
      <c r="A1087" s="376">
        <v>2</v>
      </c>
      <c r="B1087" s="579" t="s">
        <v>136</v>
      </c>
      <c r="C1087" s="579"/>
      <c r="D1087" s="579"/>
      <c r="E1087" s="579"/>
      <c r="F1087" s="579"/>
      <c r="G1087" s="579"/>
      <c r="H1087" s="579"/>
    </row>
    <row r="1088" spans="1:8" ht="31.5">
      <c r="A1088" s="376" t="s">
        <v>743</v>
      </c>
      <c r="B1088" s="381" t="s">
        <v>137</v>
      </c>
      <c r="C1088" s="378" t="s">
        <v>223</v>
      </c>
      <c r="D1088" s="378" t="s">
        <v>224</v>
      </c>
      <c r="E1088" s="378" t="s">
        <v>26</v>
      </c>
      <c r="F1088" s="378" t="s">
        <v>26</v>
      </c>
      <c r="G1088" s="383">
        <v>0</v>
      </c>
      <c r="H1088" s="379"/>
    </row>
    <row r="1089" spans="1:8" ht="47.25">
      <c r="A1089" s="376" t="s">
        <v>746</v>
      </c>
      <c r="B1089" s="381" t="s">
        <v>140</v>
      </c>
      <c r="C1089" s="378" t="s">
        <v>26</v>
      </c>
      <c r="D1089" s="378" t="s">
        <v>26</v>
      </c>
      <c r="E1089" s="378" t="s">
        <v>26</v>
      </c>
      <c r="F1089" s="378" t="s">
        <v>26</v>
      </c>
      <c r="G1089" s="378" t="s">
        <v>26</v>
      </c>
      <c r="H1089" s="379" t="s">
        <v>130</v>
      </c>
    </row>
    <row r="1090" spans="1:8" ht="31.5">
      <c r="A1090" s="376" t="s">
        <v>141</v>
      </c>
      <c r="B1090" s="381" t="s">
        <v>142</v>
      </c>
      <c r="C1090" s="378" t="s">
        <v>26</v>
      </c>
      <c r="D1090" s="378" t="s">
        <v>26</v>
      </c>
      <c r="E1090" s="378" t="s">
        <v>26</v>
      </c>
      <c r="F1090" s="378" t="s">
        <v>26</v>
      </c>
      <c r="G1090" s="378" t="s">
        <v>26</v>
      </c>
      <c r="H1090" s="379" t="s">
        <v>130</v>
      </c>
    </row>
    <row r="1091" spans="1:8" ht="18.75" customHeight="1">
      <c r="A1091" s="376">
        <v>3</v>
      </c>
      <c r="B1091" s="579" t="s">
        <v>184</v>
      </c>
      <c r="C1091" s="579"/>
      <c r="D1091" s="579"/>
      <c r="E1091" s="579"/>
      <c r="F1091" s="579"/>
      <c r="G1091" s="579"/>
      <c r="H1091" s="579"/>
    </row>
    <row r="1092" spans="1:8" ht="31.5">
      <c r="A1092" s="376" t="s">
        <v>756</v>
      </c>
      <c r="B1092" s="382" t="s">
        <v>144</v>
      </c>
      <c r="C1092" s="378" t="s">
        <v>26</v>
      </c>
      <c r="D1092" s="378" t="s">
        <v>26</v>
      </c>
      <c r="E1092" s="378" t="s">
        <v>26</v>
      </c>
      <c r="F1092" s="378" t="s">
        <v>26</v>
      </c>
      <c r="G1092" s="378" t="s">
        <v>26</v>
      </c>
      <c r="H1092" s="379" t="s">
        <v>130</v>
      </c>
    </row>
    <row r="1093" spans="1:8" ht="15.75">
      <c r="A1093" s="376" t="s">
        <v>757</v>
      </c>
      <c r="B1093" s="382" t="s">
        <v>145</v>
      </c>
      <c r="C1093" s="378" t="s">
        <v>223</v>
      </c>
      <c r="D1093" s="378" t="s">
        <v>225</v>
      </c>
      <c r="E1093" s="378" t="s">
        <v>26</v>
      </c>
      <c r="F1093" s="378" t="s">
        <v>26</v>
      </c>
      <c r="G1093" s="383">
        <v>0</v>
      </c>
      <c r="H1093" s="379"/>
    </row>
    <row r="1094" spans="1:8" ht="15.75">
      <c r="A1094" s="376" t="s">
        <v>147</v>
      </c>
      <c r="B1094" s="382" t="s">
        <v>148</v>
      </c>
      <c r="C1094" s="378" t="s">
        <v>225</v>
      </c>
      <c r="D1094" s="378" t="s">
        <v>226</v>
      </c>
      <c r="E1094" s="378" t="s">
        <v>26</v>
      </c>
      <c r="F1094" s="378" t="s">
        <v>26</v>
      </c>
      <c r="G1094" s="383">
        <v>0</v>
      </c>
      <c r="H1094" s="379"/>
    </row>
    <row r="1095" spans="1:8" ht="15.75">
      <c r="A1095" s="376" t="s">
        <v>151</v>
      </c>
      <c r="B1095" s="382" t="s">
        <v>152</v>
      </c>
      <c r="C1095" s="378" t="s">
        <v>227</v>
      </c>
      <c r="D1095" s="378" t="s">
        <v>228</v>
      </c>
      <c r="E1095" s="378" t="s">
        <v>26</v>
      </c>
      <c r="F1095" s="378" t="s">
        <v>26</v>
      </c>
      <c r="G1095" s="383">
        <v>0</v>
      </c>
      <c r="H1095" s="379"/>
    </row>
    <row r="1096" spans="1:8" ht="15.75">
      <c r="A1096" s="376" t="s">
        <v>155</v>
      </c>
      <c r="B1096" s="382" t="s">
        <v>156</v>
      </c>
      <c r="C1096" s="378" t="s">
        <v>229</v>
      </c>
      <c r="D1096" s="378" t="s">
        <v>230</v>
      </c>
      <c r="E1096" s="378" t="s">
        <v>26</v>
      </c>
      <c r="F1096" s="378" t="s">
        <v>26</v>
      </c>
      <c r="G1096" s="383">
        <v>0</v>
      </c>
      <c r="H1096" s="379"/>
    </row>
    <row r="1097" spans="1:8" ht="18.75" customHeight="1">
      <c r="A1097" s="376">
        <v>4</v>
      </c>
      <c r="B1097" s="579" t="s">
        <v>159</v>
      </c>
      <c r="C1097" s="579"/>
      <c r="D1097" s="579"/>
      <c r="E1097" s="579"/>
      <c r="F1097" s="579"/>
      <c r="G1097" s="579"/>
      <c r="H1097" s="579"/>
    </row>
    <row r="1098" spans="1:8" ht="31.5">
      <c r="A1098" s="376" t="s">
        <v>160</v>
      </c>
      <c r="B1098" s="381" t="s">
        <v>161</v>
      </c>
      <c r="C1098" s="378" t="s">
        <v>26</v>
      </c>
      <c r="D1098" s="378" t="s">
        <v>26</v>
      </c>
      <c r="E1098" s="378" t="s">
        <v>26</v>
      </c>
      <c r="F1098" s="378" t="s">
        <v>26</v>
      </c>
      <c r="G1098" s="378" t="s">
        <v>26</v>
      </c>
      <c r="H1098" s="379" t="s">
        <v>130</v>
      </c>
    </row>
    <row r="1099" spans="1:8" ht="47.25">
      <c r="A1099" s="376" t="s">
        <v>162</v>
      </c>
      <c r="B1099" s="381" t="s">
        <v>163</v>
      </c>
      <c r="C1099" s="378" t="s">
        <v>26</v>
      </c>
      <c r="D1099" s="378" t="s">
        <v>26</v>
      </c>
      <c r="E1099" s="378" t="s">
        <v>26</v>
      </c>
      <c r="F1099" s="378" t="s">
        <v>26</v>
      </c>
      <c r="G1099" s="378" t="s">
        <v>26</v>
      </c>
      <c r="H1099" s="379" t="s">
        <v>130</v>
      </c>
    </row>
    <row r="1100" spans="1:8" ht="31.5">
      <c r="A1100" s="376" t="s">
        <v>164</v>
      </c>
      <c r="B1100" s="382" t="s">
        <v>165</v>
      </c>
      <c r="C1100" s="378" t="s">
        <v>26</v>
      </c>
      <c r="D1100" s="378" t="s">
        <v>26</v>
      </c>
      <c r="E1100" s="378" t="s">
        <v>26</v>
      </c>
      <c r="F1100" s="378" t="s">
        <v>26</v>
      </c>
      <c r="G1100" s="378" t="s">
        <v>26</v>
      </c>
      <c r="H1100" s="379" t="s">
        <v>130</v>
      </c>
    </row>
    <row r="1101" spans="1:8" ht="31.5">
      <c r="A1101" s="384" t="s">
        <v>166</v>
      </c>
      <c r="B1101" s="385" t="s">
        <v>167</v>
      </c>
      <c r="C1101" s="386" t="s">
        <v>26</v>
      </c>
      <c r="D1101" s="386" t="s">
        <v>26</v>
      </c>
      <c r="E1101" s="386" t="s">
        <v>26</v>
      </c>
      <c r="F1101" s="386" t="s">
        <v>26</v>
      </c>
      <c r="G1101" s="386" t="s">
        <v>26</v>
      </c>
      <c r="H1101" s="387" t="s">
        <v>130</v>
      </c>
    </row>
    <row r="1102" spans="1:8" ht="15.75">
      <c r="A1102" s="388"/>
      <c r="B1102" s="389"/>
      <c r="C1102" s="390"/>
      <c r="D1102" s="390"/>
      <c r="E1102" s="390"/>
      <c r="F1102" s="390"/>
      <c r="G1102" s="390"/>
      <c r="H1102" s="98"/>
    </row>
    <row r="1103" spans="1:8" ht="18.75" customHeight="1">
      <c r="A1103" s="580" t="s">
        <v>168</v>
      </c>
      <c r="B1103" s="580"/>
      <c r="C1103" s="580"/>
      <c r="D1103" s="580"/>
      <c r="E1103" s="580"/>
      <c r="F1103" s="580"/>
      <c r="G1103" s="580"/>
      <c r="H1103" s="580"/>
    </row>
    <row r="1106" ht="15.75">
      <c r="H1106" s="6" t="s">
        <v>113</v>
      </c>
    </row>
    <row r="1107" ht="15.75">
      <c r="H1107" s="6" t="s">
        <v>114</v>
      </c>
    </row>
    <row r="1108" ht="15.75">
      <c r="H1108" s="6" t="s">
        <v>115</v>
      </c>
    </row>
    <row r="1109" ht="15.75">
      <c r="H1109" s="6"/>
    </row>
    <row r="1110" spans="1:8" ht="18.75" customHeight="1">
      <c r="A1110" s="622" t="s">
        <v>116</v>
      </c>
      <c r="B1110" s="622"/>
      <c r="C1110" s="622"/>
      <c r="D1110" s="622"/>
      <c r="E1110" s="622"/>
      <c r="F1110" s="622"/>
      <c r="G1110" s="622"/>
      <c r="H1110" s="622"/>
    </row>
    <row r="1111" spans="1:8" ht="18.75" customHeight="1">
      <c r="A1111" s="622" t="s">
        <v>117</v>
      </c>
      <c r="B1111" s="622"/>
      <c r="C1111" s="622"/>
      <c r="D1111" s="622"/>
      <c r="E1111" s="622"/>
      <c r="F1111" s="622"/>
      <c r="G1111" s="622"/>
      <c r="H1111" s="622"/>
    </row>
    <row r="1112" ht="15.75">
      <c r="H1112" s="6" t="s">
        <v>562</v>
      </c>
    </row>
    <row r="1113" ht="15.75">
      <c r="H1113" s="6" t="s">
        <v>769</v>
      </c>
    </row>
    <row r="1114" ht="15.75">
      <c r="H1114" s="6" t="s">
        <v>770</v>
      </c>
    </row>
    <row r="1115" ht="15.75">
      <c r="H1115" s="361" t="str">
        <f>H11</f>
        <v>                         Добровольский К.А.</v>
      </c>
    </row>
    <row r="1116" ht="15.75">
      <c r="H1116" s="6" t="s">
        <v>772</v>
      </c>
    </row>
    <row r="1117" ht="15.75">
      <c r="H1117" s="6" t="s">
        <v>567</v>
      </c>
    </row>
    <row r="1118" ht="15.75">
      <c r="A1118" s="362"/>
    </row>
    <row r="1119" ht="15.75">
      <c r="A1119" s="3" t="s">
        <v>233</v>
      </c>
    </row>
    <row r="1120" spans="1:8" ht="18.75" customHeight="1">
      <c r="A1120" s="623" t="s">
        <v>120</v>
      </c>
      <c r="B1120" s="623"/>
      <c r="C1120" s="623"/>
      <c r="D1120" s="623"/>
      <c r="E1120" s="623"/>
      <c r="F1120" s="623"/>
      <c r="G1120" s="623"/>
      <c r="H1120" s="623"/>
    </row>
    <row r="1121" spans="1:8" ht="15.75">
      <c r="A1121" s="364"/>
      <c r="B1121" s="364"/>
      <c r="C1121" s="366"/>
      <c r="D1121" s="366"/>
      <c r="E1121" s="366"/>
      <c r="F1121" s="366"/>
      <c r="G1121" s="366"/>
      <c r="H1121" s="366"/>
    </row>
    <row r="1122" spans="1:8" ht="16.5" customHeight="1">
      <c r="A1122" s="581" t="s">
        <v>121</v>
      </c>
      <c r="B1122" s="559" t="s">
        <v>122</v>
      </c>
      <c r="C1122" s="560" t="s">
        <v>123</v>
      </c>
      <c r="D1122" s="560"/>
      <c r="E1122" s="560"/>
      <c r="F1122" s="560"/>
      <c r="G1122" s="561" t="s">
        <v>124</v>
      </c>
      <c r="H1122" s="581" t="s">
        <v>125</v>
      </c>
    </row>
    <row r="1123" spans="1:8" ht="15.75">
      <c r="A1123" s="581"/>
      <c r="B1123" s="559"/>
      <c r="C1123" s="560"/>
      <c r="D1123" s="560"/>
      <c r="E1123" s="560"/>
      <c r="F1123" s="560"/>
      <c r="G1123" s="561"/>
      <c r="H1123" s="581"/>
    </row>
    <row r="1124" spans="1:8" ht="31.5">
      <c r="A1124" s="581"/>
      <c r="B1124" s="559"/>
      <c r="C1124" s="369" t="s">
        <v>126</v>
      </c>
      <c r="D1124" s="369" t="s">
        <v>127</v>
      </c>
      <c r="E1124" s="370" t="s">
        <v>126</v>
      </c>
      <c r="F1124" s="371" t="s">
        <v>127</v>
      </c>
      <c r="G1124" s="561"/>
      <c r="H1124" s="581"/>
    </row>
    <row r="1125" spans="1:8" ht="15.75">
      <c r="A1125" s="367">
        <v>1</v>
      </c>
      <c r="B1125" s="367">
        <v>2</v>
      </c>
      <c r="C1125" s="372">
        <v>3</v>
      </c>
      <c r="D1125" s="372">
        <v>4</v>
      </c>
      <c r="E1125" s="373"/>
      <c r="F1125" s="374"/>
      <c r="G1125" s="368">
        <v>5</v>
      </c>
      <c r="H1125" s="367">
        <v>6</v>
      </c>
    </row>
    <row r="1126" spans="1:8" ht="18.75" customHeight="1">
      <c r="A1126" s="375">
        <v>1</v>
      </c>
      <c r="B1126" s="582" t="s">
        <v>128</v>
      </c>
      <c r="C1126" s="582"/>
      <c r="D1126" s="582"/>
      <c r="E1126" s="582"/>
      <c r="F1126" s="582"/>
      <c r="G1126" s="582"/>
      <c r="H1126" s="582"/>
    </row>
    <row r="1127" spans="1:8" ht="15.75">
      <c r="A1127" s="376" t="s">
        <v>594</v>
      </c>
      <c r="B1127" s="377" t="s">
        <v>129</v>
      </c>
      <c r="C1127" s="378" t="s">
        <v>26</v>
      </c>
      <c r="D1127" s="378" t="s">
        <v>26</v>
      </c>
      <c r="E1127" s="378" t="s">
        <v>26</v>
      </c>
      <c r="F1127" s="378" t="s">
        <v>26</v>
      </c>
      <c r="G1127" s="378" t="s">
        <v>26</v>
      </c>
      <c r="H1127" s="379" t="s">
        <v>130</v>
      </c>
    </row>
    <row r="1128" spans="1:8" ht="15.75">
      <c r="A1128" s="376" t="s">
        <v>735</v>
      </c>
      <c r="B1128" s="377" t="s">
        <v>131</v>
      </c>
      <c r="C1128" s="378" t="s">
        <v>26</v>
      </c>
      <c r="D1128" s="378" t="s">
        <v>26</v>
      </c>
      <c r="E1128" s="378" t="s">
        <v>26</v>
      </c>
      <c r="F1128" s="378" t="s">
        <v>26</v>
      </c>
      <c r="G1128" s="378" t="s">
        <v>26</v>
      </c>
      <c r="H1128" s="379" t="s">
        <v>130</v>
      </c>
    </row>
    <row r="1129" spans="1:8" ht="31.5">
      <c r="A1129" s="376" t="s">
        <v>737</v>
      </c>
      <c r="B1129" s="381" t="s">
        <v>132</v>
      </c>
      <c r="C1129" s="566" t="s">
        <v>88</v>
      </c>
      <c r="D1129" s="566" t="s">
        <v>89</v>
      </c>
      <c r="E1129" s="378" t="s">
        <v>26</v>
      </c>
      <c r="F1129" s="378" t="s">
        <v>26</v>
      </c>
      <c r="G1129" s="378" t="s">
        <v>26</v>
      </c>
      <c r="H1129" s="379" t="s">
        <v>130</v>
      </c>
    </row>
    <row r="1130" spans="1:8" ht="47.25">
      <c r="A1130" s="376" t="s">
        <v>739</v>
      </c>
      <c r="B1130" s="381" t="s">
        <v>133</v>
      </c>
      <c r="C1130" s="566" t="s">
        <v>90</v>
      </c>
      <c r="D1130" s="566" t="s">
        <v>91</v>
      </c>
      <c r="E1130" s="378" t="s">
        <v>26</v>
      </c>
      <c r="F1130" s="378" t="s">
        <v>26</v>
      </c>
      <c r="G1130" s="378" t="s">
        <v>26</v>
      </c>
      <c r="H1130" s="379" t="s">
        <v>130</v>
      </c>
    </row>
    <row r="1131" spans="1:8" ht="15.75">
      <c r="A1131" s="376" t="s">
        <v>852</v>
      </c>
      <c r="B1131" s="382" t="s">
        <v>134</v>
      </c>
      <c r="C1131" s="566" t="s">
        <v>92</v>
      </c>
      <c r="D1131" s="566" t="s">
        <v>93</v>
      </c>
      <c r="E1131" s="378" t="s">
        <v>26</v>
      </c>
      <c r="F1131" s="378" t="s">
        <v>26</v>
      </c>
      <c r="G1131" s="378" t="s">
        <v>26</v>
      </c>
      <c r="H1131" s="379" t="s">
        <v>130</v>
      </c>
    </row>
    <row r="1132" spans="1:8" ht="15.75">
      <c r="A1132" s="376" t="s">
        <v>853</v>
      </c>
      <c r="B1132" s="382" t="s">
        <v>135</v>
      </c>
      <c r="C1132" s="566" t="s">
        <v>88</v>
      </c>
      <c r="D1132" s="566" t="s">
        <v>94</v>
      </c>
      <c r="E1132" s="378" t="s">
        <v>26</v>
      </c>
      <c r="F1132" s="378" t="s">
        <v>26</v>
      </c>
      <c r="G1132" s="378" t="s">
        <v>26</v>
      </c>
      <c r="H1132" s="379" t="s">
        <v>130</v>
      </c>
    </row>
    <row r="1133" spans="1:8" ht="18.75" customHeight="1">
      <c r="A1133" s="376">
        <v>2</v>
      </c>
      <c r="B1133" s="579" t="s">
        <v>136</v>
      </c>
      <c r="C1133" s="579"/>
      <c r="D1133" s="579"/>
      <c r="E1133" s="579"/>
      <c r="F1133" s="579"/>
      <c r="G1133" s="579"/>
      <c r="H1133" s="579"/>
    </row>
    <row r="1134" spans="1:8" ht="31.5">
      <c r="A1134" s="376" t="s">
        <v>743</v>
      </c>
      <c r="B1134" s="381" t="s">
        <v>137</v>
      </c>
      <c r="C1134" s="378" t="s">
        <v>234</v>
      </c>
      <c r="D1134" s="378" t="s">
        <v>235</v>
      </c>
      <c r="E1134" s="378" t="s">
        <v>26</v>
      </c>
      <c r="F1134" s="378" t="s">
        <v>26</v>
      </c>
      <c r="G1134" s="383">
        <v>0</v>
      </c>
      <c r="H1134" s="379"/>
    </row>
    <row r="1135" spans="1:8" ht="47.25">
      <c r="A1135" s="376" t="s">
        <v>746</v>
      </c>
      <c r="B1135" s="381" t="s">
        <v>140</v>
      </c>
      <c r="C1135" s="378" t="s">
        <v>26</v>
      </c>
      <c r="D1135" s="378" t="s">
        <v>26</v>
      </c>
      <c r="E1135" s="378" t="s">
        <v>26</v>
      </c>
      <c r="F1135" s="378" t="s">
        <v>26</v>
      </c>
      <c r="G1135" s="378" t="s">
        <v>26</v>
      </c>
      <c r="H1135" s="379" t="s">
        <v>130</v>
      </c>
    </row>
    <row r="1136" spans="1:8" ht="31.5">
      <c r="A1136" s="376" t="s">
        <v>141</v>
      </c>
      <c r="B1136" s="381" t="s">
        <v>142</v>
      </c>
      <c r="C1136" s="378" t="s">
        <v>26</v>
      </c>
      <c r="D1136" s="378" t="s">
        <v>26</v>
      </c>
      <c r="E1136" s="378" t="s">
        <v>26</v>
      </c>
      <c r="F1136" s="378" t="s">
        <v>26</v>
      </c>
      <c r="G1136" s="378" t="s">
        <v>26</v>
      </c>
      <c r="H1136" s="379" t="s">
        <v>130</v>
      </c>
    </row>
    <row r="1137" spans="1:8" ht="18.75" customHeight="1">
      <c r="A1137" s="376">
        <v>3</v>
      </c>
      <c r="B1137" s="579" t="s">
        <v>184</v>
      </c>
      <c r="C1137" s="579"/>
      <c r="D1137" s="579"/>
      <c r="E1137" s="579"/>
      <c r="F1137" s="579"/>
      <c r="G1137" s="579"/>
      <c r="H1137" s="579"/>
    </row>
    <row r="1138" spans="1:8" ht="31.5">
      <c r="A1138" s="376" t="s">
        <v>756</v>
      </c>
      <c r="B1138" s="382" t="s">
        <v>144</v>
      </c>
      <c r="C1138" s="378" t="s">
        <v>26</v>
      </c>
      <c r="D1138" s="378" t="s">
        <v>26</v>
      </c>
      <c r="E1138" s="378" t="s">
        <v>26</v>
      </c>
      <c r="F1138" s="378" t="s">
        <v>26</v>
      </c>
      <c r="G1138" s="378" t="s">
        <v>26</v>
      </c>
      <c r="H1138" s="379" t="s">
        <v>130</v>
      </c>
    </row>
    <row r="1139" spans="1:8" ht="15.75">
      <c r="A1139" s="376" t="s">
        <v>757</v>
      </c>
      <c r="B1139" s="382" t="s">
        <v>145</v>
      </c>
      <c r="C1139" s="378" t="s">
        <v>234</v>
      </c>
      <c r="D1139" s="378" t="s">
        <v>230</v>
      </c>
      <c r="E1139" s="378" t="s">
        <v>26</v>
      </c>
      <c r="F1139" s="378" t="s">
        <v>26</v>
      </c>
      <c r="G1139" s="383">
        <v>0</v>
      </c>
      <c r="H1139" s="379"/>
    </row>
    <row r="1140" spans="1:8" ht="15.75">
      <c r="A1140" s="376" t="s">
        <v>147</v>
      </c>
      <c r="B1140" s="382" t="s">
        <v>148</v>
      </c>
      <c r="C1140" s="378" t="s">
        <v>236</v>
      </c>
      <c r="D1140" s="378" t="s">
        <v>224</v>
      </c>
      <c r="E1140" s="378" t="s">
        <v>26</v>
      </c>
      <c r="F1140" s="378" t="s">
        <v>26</v>
      </c>
      <c r="G1140" s="383">
        <v>0</v>
      </c>
      <c r="H1140" s="379"/>
    </row>
    <row r="1141" spans="1:8" ht="15.75">
      <c r="A1141" s="376" t="s">
        <v>151</v>
      </c>
      <c r="B1141" s="382" t="s">
        <v>152</v>
      </c>
      <c r="C1141" s="378" t="s">
        <v>237</v>
      </c>
      <c r="D1141" s="378" t="s">
        <v>238</v>
      </c>
      <c r="E1141" s="378" t="s">
        <v>26</v>
      </c>
      <c r="F1141" s="378" t="s">
        <v>26</v>
      </c>
      <c r="G1141" s="383">
        <v>0</v>
      </c>
      <c r="H1141" s="379"/>
    </row>
    <row r="1142" spans="1:8" ht="15.75">
      <c r="A1142" s="376" t="s">
        <v>155</v>
      </c>
      <c r="B1142" s="382" t="s">
        <v>156</v>
      </c>
      <c r="C1142" s="378" t="s">
        <v>239</v>
      </c>
      <c r="D1142" s="378" t="s">
        <v>235</v>
      </c>
      <c r="E1142" s="378" t="s">
        <v>26</v>
      </c>
      <c r="F1142" s="378" t="s">
        <v>26</v>
      </c>
      <c r="G1142" s="383">
        <v>0</v>
      </c>
      <c r="H1142" s="379"/>
    </row>
    <row r="1143" spans="1:8" ht="18.75" customHeight="1">
      <c r="A1143" s="376">
        <v>4</v>
      </c>
      <c r="B1143" s="579" t="s">
        <v>159</v>
      </c>
      <c r="C1143" s="579"/>
      <c r="D1143" s="579"/>
      <c r="E1143" s="579"/>
      <c r="F1143" s="579"/>
      <c r="G1143" s="579"/>
      <c r="H1143" s="579"/>
    </row>
    <row r="1144" spans="1:8" ht="31.5">
      <c r="A1144" s="376" t="s">
        <v>160</v>
      </c>
      <c r="B1144" s="381" t="s">
        <v>161</v>
      </c>
      <c r="C1144" s="378" t="s">
        <v>26</v>
      </c>
      <c r="D1144" s="378" t="s">
        <v>26</v>
      </c>
      <c r="E1144" s="378" t="s">
        <v>26</v>
      </c>
      <c r="F1144" s="378" t="s">
        <v>26</v>
      </c>
      <c r="G1144" s="378" t="s">
        <v>26</v>
      </c>
      <c r="H1144" s="379" t="s">
        <v>130</v>
      </c>
    </row>
    <row r="1145" spans="1:8" ht="47.25">
      <c r="A1145" s="376" t="s">
        <v>162</v>
      </c>
      <c r="B1145" s="381" t="s">
        <v>163</v>
      </c>
      <c r="C1145" s="378" t="s">
        <v>26</v>
      </c>
      <c r="D1145" s="378" t="s">
        <v>26</v>
      </c>
      <c r="E1145" s="378" t="s">
        <v>26</v>
      </c>
      <c r="F1145" s="378" t="s">
        <v>26</v>
      </c>
      <c r="G1145" s="378" t="s">
        <v>26</v>
      </c>
      <c r="H1145" s="379" t="s">
        <v>130</v>
      </c>
    </row>
    <row r="1146" spans="1:8" ht="31.5">
      <c r="A1146" s="376" t="s">
        <v>164</v>
      </c>
      <c r="B1146" s="382" t="s">
        <v>165</v>
      </c>
      <c r="C1146" s="378" t="s">
        <v>26</v>
      </c>
      <c r="D1146" s="378" t="s">
        <v>26</v>
      </c>
      <c r="E1146" s="378" t="s">
        <v>26</v>
      </c>
      <c r="F1146" s="378" t="s">
        <v>26</v>
      </c>
      <c r="G1146" s="378" t="s">
        <v>26</v>
      </c>
      <c r="H1146" s="379" t="s">
        <v>130</v>
      </c>
    </row>
    <row r="1147" spans="1:8" ht="31.5">
      <c r="A1147" s="384" t="s">
        <v>166</v>
      </c>
      <c r="B1147" s="385" t="s">
        <v>167</v>
      </c>
      <c r="C1147" s="386" t="s">
        <v>26</v>
      </c>
      <c r="D1147" s="386" t="s">
        <v>26</v>
      </c>
      <c r="E1147" s="386" t="s">
        <v>26</v>
      </c>
      <c r="F1147" s="386" t="s">
        <v>26</v>
      </c>
      <c r="G1147" s="386" t="s">
        <v>26</v>
      </c>
      <c r="H1147" s="387" t="s">
        <v>130</v>
      </c>
    </row>
    <row r="1148" spans="1:8" ht="15.75">
      <c r="A1148" s="388"/>
      <c r="B1148" s="389"/>
      <c r="C1148" s="390"/>
      <c r="D1148" s="390"/>
      <c r="E1148" s="390"/>
      <c r="F1148" s="390"/>
      <c r="G1148" s="390"/>
      <c r="H1148" s="98"/>
    </row>
    <row r="1149" spans="1:8" ht="18.75" customHeight="1">
      <c r="A1149" s="580" t="s">
        <v>168</v>
      </c>
      <c r="B1149" s="580"/>
      <c r="C1149" s="580"/>
      <c r="D1149" s="580"/>
      <c r="E1149" s="580"/>
      <c r="F1149" s="580"/>
      <c r="G1149" s="580"/>
      <c r="H1149" s="580"/>
    </row>
    <row r="1152" ht="15.75">
      <c r="H1152" s="6" t="s">
        <v>113</v>
      </c>
    </row>
    <row r="1153" ht="15.75">
      <c r="H1153" s="6" t="s">
        <v>114</v>
      </c>
    </row>
    <row r="1154" ht="15.75">
      <c r="H1154" s="6" t="s">
        <v>115</v>
      </c>
    </row>
    <row r="1155" ht="15.75">
      <c r="H1155" s="6"/>
    </row>
    <row r="1156" spans="1:8" ht="18.75" customHeight="1">
      <c r="A1156" s="622" t="s">
        <v>116</v>
      </c>
      <c r="B1156" s="622"/>
      <c r="C1156" s="622"/>
      <c r="D1156" s="622"/>
      <c r="E1156" s="622"/>
      <c r="F1156" s="622"/>
      <c r="G1156" s="622"/>
      <c r="H1156" s="622"/>
    </row>
    <row r="1157" spans="1:8" ht="18.75" customHeight="1">
      <c r="A1157" s="622" t="s">
        <v>117</v>
      </c>
      <c r="B1157" s="622"/>
      <c r="C1157" s="622"/>
      <c r="D1157" s="622"/>
      <c r="E1157" s="622"/>
      <c r="F1157" s="622"/>
      <c r="G1157" s="622"/>
      <c r="H1157" s="622"/>
    </row>
    <row r="1158" ht="15.75">
      <c r="H1158" s="6" t="s">
        <v>562</v>
      </c>
    </row>
    <row r="1159" ht="15.75">
      <c r="H1159" s="6" t="s">
        <v>769</v>
      </c>
    </row>
    <row r="1160" ht="15.75">
      <c r="H1160" s="6" t="s">
        <v>770</v>
      </c>
    </row>
    <row r="1161" ht="15.75">
      <c r="H1161" s="361" t="str">
        <f>H11</f>
        <v>                         Добровольский К.А.</v>
      </c>
    </row>
    <row r="1162" ht="15.75">
      <c r="H1162" s="6" t="s">
        <v>772</v>
      </c>
    </row>
    <row r="1163" ht="15.75">
      <c r="H1163" s="6" t="s">
        <v>567</v>
      </c>
    </row>
    <row r="1164" ht="15.75">
      <c r="A1164" s="362"/>
    </row>
    <row r="1165" ht="15.75">
      <c r="A1165" s="3" t="s">
        <v>240</v>
      </c>
    </row>
    <row r="1166" spans="1:8" ht="18.75" customHeight="1">
      <c r="A1166" s="623" t="s">
        <v>120</v>
      </c>
      <c r="B1166" s="623"/>
      <c r="C1166" s="623"/>
      <c r="D1166" s="623"/>
      <c r="E1166" s="623"/>
      <c r="F1166" s="623"/>
      <c r="G1166" s="623"/>
      <c r="H1166" s="623"/>
    </row>
    <row r="1167" spans="1:8" ht="15.75">
      <c r="A1167" s="364"/>
      <c r="B1167" s="364"/>
      <c r="C1167" s="366"/>
      <c r="D1167" s="366"/>
      <c r="E1167" s="366"/>
      <c r="F1167" s="366"/>
      <c r="G1167" s="366"/>
      <c r="H1167" s="366"/>
    </row>
    <row r="1168" spans="1:8" ht="16.5" customHeight="1">
      <c r="A1168" s="581" t="s">
        <v>121</v>
      </c>
      <c r="B1168" s="559" t="s">
        <v>122</v>
      </c>
      <c r="C1168" s="560" t="s">
        <v>123</v>
      </c>
      <c r="D1168" s="560"/>
      <c r="E1168" s="560"/>
      <c r="F1168" s="560"/>
      <c r="G1168" s="561" t="s">
        <v>124</v>
      </c>
      <c r="H1168" s="581" t="s">
        <v>125</v>
      </c>
    </row>
    <row r="1169" spans="1:8" ht="15.75">
      <c r="A1169" s="581"/>
      <c r="B1169" s="559"/>
      <c r="C1169" s="560"/>
      <c r="D1169" s="560"/>
      <c r="E1169" s="560"/>
      <c r="F1169" s="560"/>
      <c r="G1169" s="561"/>
      <c r="H1169" s="581"/>
    </row>
    <row r="1170" spans="1:8" ht="31.5">
      <c r="A1170" s="581"/>
      <c r="B1170" s="559"/>
      <c r="C1170" s="369" t="s">
        <v>126</v>
      </c>
      <c r="D1170" s="369" t="s">
        <v>127</v>
      </c>
      <c r="E1170" s="370" t="s">
        <v>126</v>
      </c>
      <c r="F1170" s="371" t="s">
        <v>127</v>
      </c>
      <c r="G1170" s="561"/>
      <c r="H1170" s="581"/>
    </row>
    <row r="1171" spans="1:8" ht="15.75">
      <c r="A1171" s="367">
        <v>1</v>
      </c>
      <c r="B1171" s="367">
        <v>2</v>
      </c>
      <c r="C1171" s="372">
        <v>3</v>
      </c>
      <c r="D1171" s="372">
        <v>4</v>
      </c>
      <c r="E1171" s="373"/>
      <c r="F1171" s="374"/>
      <c r="G1171" s="368">
        <v>5</v>
      </c>
      <c r="H1171" s="367">
        <v>6</v>
      </c>
    </row>
    <row r="1172" spans="1:8" ht="18.75" customHeight="1">
      <c r="A1172" s="375">
        <v>1</v>
      </c>
      <c r="B1172" s="582" t="s">
        <v>128</v>
      </c>
      <c r="C1172" s="582"/>
      <c r="D1172" s="582"/>
      <c r="E1172" s="582"/>
      <c r="F1172" s="582"/>
      <c r="G1172" s="582"/>
      <c r="H1172" s="582"/>
    </row>
    <row r="1173" spans="1:8" ht="15.75">
      <c r="A1173" s="376" t="s">
        <v>594</v>
      </c>
      <c r="B1173" s="377" t="s">
        <v>129</v>
      </c>
      <c r="C1173" s="378" t="s">
        <v>26</v>
      </c>
      <c r="D1173" s="378" t="s">
        <v>26</v>
      </c>
      <c r="E1173" s="378" t="s">
        <v>26</v>
      </c>
      <c r="F1173" s="378" t="s">
        <v>26</v>
      </c>
      <c r="G1173" s="378" t="s">
        <v>26</v>
      </c>
      <c r="H1173" s="379" t="s">
        <v>130</v>
      </c>
    </row>
    <row r="1174" spans="1:8" ht="15.75">
      <c r="A1174" s="376" t="s">
        <v>735</v>
      </c>
      <c r="B1174" s="377" t="s">
        <v>131</v>
      </c>
      <c r="C1174" s="378" t="s">
        <v>26</v>
      </c>
      <c r="D1174" s="378" t="s">
        <v>26</v>
      </c>
      <c r="E1174" s="378" t="s">
        <v>26</v>
      </c>
      <c r="F1174" s="378" t="s">
        <v>26</v>
      </c>
      <c r="G1174" s="378" t="s">
        <v>26</v>
      </c>
      <c r="H1174" s="379" t="s">
        <v>130</v>
      </c>
    </row>
    <row r="1175" spans="1:8" ht="31.5">
      <c r="A1175" s="376" t="s">
        <v>737</v>
      </c>
      <c r="B1175" s="381" t="s">
        <v>132</v>
      </c>
      <c r="C1175" s="566" t="s">
        <v>88</v>
      </c>
      <c r="D1175" s="566" t="s">
        <v>89</v>
      </c>
      <c r="E1175" s="378" t="s">
        <v>26</v>
      </c>
      <c r="F1175" s="378" t="s">
        <v>26</v>
      </c>
      <c r="G1175" s="378" t="s">
        <v>26</v>
      </c>
      <c r="H1175" s="379" t="s">
        <v>130</v>
      </c>
    </row>
    <row r="1176" spans="1:8" ht="47.25">
      <c r="A1176" s="376" t="s">
        <v>739</v>
      </c>
      <c r="B1176" s="381" t="s">
        <v>133</v>
      </c>
      <c r="C1176" s="566" t="s">
        <v>90</v>
      </c>
      <c r="D1176" s="566" t="s">
        <v>91</v>
      </c>
      <c r="E1176" s="378" t="s">
        <v>26</v>
      </c>
      <c r="F1176" s="378" t="s">
        <v>26</v>
      </c>
      <c r="G1176" s="378" t="s">
        <v>26</v>
      </c>
      <c r="H1176" s="379" t="s">
        <v>130</v>
      </c>
    </row>
    <row r="1177" spans="1:8" ht="15.75">
      <c r="A1177" s="376" t="s">
        <v>852</v>
      </c>
      <c r="B1177" s="382" t="s">
        <v>134</v>
      </c>
      <c r="C1177" s="566" t="s">
        <v>92</v>
      </c>
      <c r="D1177" s="566" t="s">
        <v>93</v>
      </c>
      <c r="E1177" s="378" t="s">
        <v>26</v>
      </c>
      <c r="F1177" s="378" t="s">
        <v>26</v>
      </c>
      <c r="G1177" s="378" t="s">
        <v>26</v>
      </c>
      <c r="H1177" s="379" t="s">
        <v>130</v>
      </c>
    </row>
    <row r="1178" spans="1:8" ht="15.75">
      <c r="A1178" s="376" t="s">
        <v>853</v>
      </c>
      <c r="B1178" s="382" t="s">
        <v>135</v>
      </c>
      <c r="C1178" s="566" t="s">
        <v>88</v>
      </c>
      <c r="D1178" s="566" t="s">
        <v>94</v>
      </c>
      <c r="E1178" s="378" t="s">
        <v>26</v>
      </c>
      <c r="F1178" s="378" t="s">
        <v>26</v>
      </c>
      <c r="G1178" s="378" t="s">
        <v>26</v>
      </c>
      <c r="H1178" s="379" t="s">
        <v>130</v>
      </c>
    </row>
    <row r="1179" spans="1:8" ht="18.75" customHeight="1">
      <c r="A1179" s="376">
        <v>2</v>
      </c>
      <c r="B1179" s="579" t="s">
        <v>136</v>
      </c>
      <c r="C1179" s="579"/>
      <c r="D1179" s="579"/>
      <c r="E1179" s="579"/>
      <c r="F1179" s="579"/>
      <c r="G1179" s="579"/>
      <c r="H1179" s="579"/>
    </row>
    <row r="1180" spans="1:8" ht="31.5">
      <c r="A1180" s="376" t="s">
        <v>743</v>
      </c>
      <c r="B1180" s="381" t="s">
        <v>137</v>
      </c>
      <c r="C1180" s="378" t="s">
        <v>234</v>
      </c>
      <c r="D1180" s="378" t="s">
        <v>235</v>
      </c>
      <c r="E1180" s="378" t="s">
        <v>26</v>
      </c>
      <c r="F1180" s="378" t="s">
        <v>26</v>
      </c>
      <c r="G1180" s="383">
        <v>0</v>
      </c>
      <c r="H1180" s="379"/>
    </row>
    <row r="1181" spans="1:8" ht="47.25">
      <c r="A1181" s="376" t="s">
        <v>746</v>
      </c>
      <c r="B1181" s="381" t="s">
        <v>140</v>
      </c>
      <c r="C1181" s="378" t="s">
        <v>26</v>
      </c>
      <c r="D1181" s="378" t="s">
        <v>26</v>
      </c>
      <c r="E1181" s="378" t="s">
        <v>26</v>
      </c>
      <c r="F1181" s="378" t="s">
        <v>26</v>
      </c>
      <c r="G1181" s="378" t="s">
        <v>26</v>
      </c>
      <c r="H1181" s="379" t="s">
        <v>130</v>
      </c>
    </row>
    <row r="1182" spans="1:8" ht="31.5">
      <c r="A1182" s="376" t="s">
        <v>141</v>
      </c>
      <c r="B1182" s="381" t="s">
        <v>142</v>
      </c>
      <c r="C1182" s="378" t="s">
        <v>26</v>
      </c>
      <c r="D1182" s="378" t="s">
        <v>26</v>
      </c>
      <c r="E1182" s="378" t="s">
        <v>26</v>
      </c>
      <c r="F1182" s="378" t="s">
        <v>26</v>
      </c>
      <c r="G1182" s="378" t="s">
        <v>26</v>
      </c>
      <c r="H1182" s="379" t="s">
        <v>130</v>
      </c>
    </row>
    <row r="1183" spans="1:8" ht="18.75" customHeight="1">
      <c r="A1183" s="376">
        <v>3</v>
      </c>
      <c r="B1183" s="579" t="s">
        <v>184</v>
      </c>
      <c r="C1183" s="579"/>
      <c r="D1183" s="579"/>
      <c r="E1183" s="579"/>
      <c r="F1183" s="579"/>
      <c r="G1183" s="579"/>
      <c r="H1183" s="579"/>
    </row>
    <row r="1184" spans="1:8" ht="31.5">
      <c r="A1184" s="376" t="s">
        <v>756</v>
      </c>
      <c r="B1184" s="382" t="s">
        <v>144</v>
      </c>
      <c r="C1184" s="378" t="s">
        <v>26</v>
      </c>
      <c r="D1184" s="378" t="s">
        <v>26</v>
      </c>
      <c r="E1184" s="378" t="s">
        <v>26</v>
      </c>
      <c r="F1184" s="378" t="s">
        <v>26</v>
      </c>
      <c r="G1184" s="378" t="s">
        <v>26</v>
      </c>
      <c r="H1184" s="379" t="s">
        <v>130</v>
      </c>
    </row>
    <row r="1185" spans="1:8" ht="15.75">
      <c r="A1185" s="376" t="s">
        <v>757</v>
      </c>
      <c r="B1185" s="382" t="s">
        <v>145</v>
      </c>
      <c r="C1185" s="378" t="s">
        <v>234</v>
      </c>
      <c r="D1185" s="378" t="s">
        <v>230</v>
      </c>
      <c r="E1185" s="378" t="s">
        <v>26</v>
      </c>
      <c r="F1185" s="378" t="s">
        <v>26</v>
      </c>
      <c r="G1185" s="383">
        <v>0</v>
      </c>
      <c r="H1185" s="379"/>
    </row>
    <row r="1186" spans="1:8" ht="15.75">
      <c r="A1186" s="376" t="s">
        <v>147</v>
      </c>
      <c r="B1186" s="382" t="s">
        <v>148</v>
      </c>
      <c r="C1186" s="378" t="s">
        <v>236</v>
      </c>
      <c r="D1186" s="378" t="s">
        <v>224</v>
      </c>
      <c r="E1186" s="378" t="s">
        <v>26</v>
      </c>
      <c r="F1186" s="378" t="s">
        <v>26</v>
      </c>
      <c r="G1186" s="383">
        <v>0</v>
      </c>
      <c r="H1186" s="379"/>
    </row>
    <row r="1187" spans="1:8" ht="15.75">
      <c r="A1187" s="376" t="s">
        <v>151</v>
      </c>
      <c r="B1187" s="382" t="s">
        <v>152</v>
      </c>
      <c r="C1187" s="378" t="s">
        <v>237</v>
      </c>
      <c r="D1187" s="378" t="s">
        <v>238</v>
      </c>
      <c r="E1187" s="378" t="s">
        <v>26</v>
      </c>
      <c r="F1187" s="378" t="s">
        <v>26</v>
      </c>
      <c r="G1187" s="383">
        <v>0</v>
      </c>
      <c r="H1187" s="379"/>
    </row>
    <row r="1188" spans="1:8" ht="15.75">
      <c r="A1188" s="376" t="s">
        <v>155</v>
      </c>
      <c r="B1188" s="382" t="s">
        <v>156</v>
      </c>
      <c r="C1188" s="378" t="s">
        <v>239</v>
      </c>
      <c r="D1188" s="378" t="s">
        <v>235</v>
      </c>
      <c r="E1188" s="378" t="s">
        <v>26</v>
      </c>
      <c r="F1188" s="378" t="s">
        <v>26</v>
      </c>
      <c r="G1188" s="383">
        <v>0</v>
      </c>
      <c r="H1188" s="379"/>
    </row>
    <row r="1189" spans="1:8" ht="18.75" customHeight="1">
      <c r="A1189" s="376">
        <v>4</v>
      </c>
      <c r="B1189" s="579" t="s">
        <v>159</v>
      </c>
      <c r="C1189" s="579"/>
      <c r="D1189" s="579"/>
      <c r="E1189" s="579"/>
      <c r="F1189" s="579"/>
      <c r="G1189" s="579"/>
      <c r="H1189" s="579"/>
    </row>
    <row r="1190" spans="1:8" ht="31.5">
      <c r="A1190" s="376" t="s">
        <v>160</v>
      </c>
      <c r="B1190" s="381" t="s">
        <v>161</v>
      </c>
      <c r="C1190" s="378" t="s">
        <v>26</v>
      </c>
      <c r="D1190" s="378" t="s">
        <v>26</v>
      </c>
      <c r="E1190" s="378" t="s">
        <v>26</v>
      </c>
      <c r="F1190" s="378" t="s">
        <v>26</v>
      </c>
      <c r="G1190" s="378" t="s">
        <v>26</v>
      </c>
      <c r="H1190" s="379" t="s">
        <v>130</v>
      </c>
    </row>
    <row r="1191" spans="1:8" ht="47.25">
      <c r="A1191" s="376" t="s">
        <v>162</v>
      </c>
      <c r="B1191" s="381" t="s">
        <v>163</v>
      </c>
      <c r="C1191" s="378" t="s">
        <v>26</v>
      </c>
      <c r="D1191" s="378" t="s">
        <v>26</v>
      </c>
      <c r="E1191" s="378" t="s">
        <v>26</v>
      </c>
      <c r="F1191" s="378" t="s">
        <v>26</v>
      </c>
      <c r="G1191" s="378" t="s">
        <v>26</v>
      </c>
      <c r="H1191" s="379" t="s">
        <v>130</v>
      </c>
    </row>
    <row r="1192" spans="1:8" ht="31.5">
      <c r="A1192" s="376" t="s">
        <v>164</v>
      </c>
      <c r="B1192" s="382" t="s">
        <v>165</v>
      </c>
      <c r="C1192" s="378" t="s">
        <v>26</v>
      </c>
      <c r="D1192" s="378" t="s">
        <v>26</v>
      </c>
      <c r="E1192" s="378" t="s">
        <v>26</v>
      </c>
      <c r="F1192" s="378" t="s">
        <v>26</v>
      </c>
      <c r="G1192" s="378" t="s">
        <v>26</v>
      </c>
      <c r="H1192" s="379" t="s">
        <v>130</v>
      </c>
    </row>
    <row r="1193" spans="1:8" ht="31.5">
      <c r="A1193" s="384" t="s">
        <v>166</v>
      </c>
      <c r="B1193" s="385" t="s">
        <v>167</v>
      </c>
      <c r="C1193" s="386" t="s">
        <v>26</v>
      </c>
      <c r="D1193" s="386" t="s">
        <v>26</v>
      </c>
      <c r="E1193" s="386" t="s">
        <v>26</v>
      </c>
      <c r="F1193" s="386" t="s">
        <v>26</v>
      </c>
      <c r="G1193" s="386" t="s">
        <v>26</v>
      </c>
      <c r="H1193" s="387" t="s">
        <v>130</v>
      </c>
    </row>
    <row r="1194" spans="1:8" ht="15.75">
      <c r="A1194" s="388"/>
      <c r="B1194" s="389"/>
      <c r="C1194" s="390"/>
      <c r="D1194" s="390"/>
      <c r="E1194" s="390"/>
      <c r="F1194" s="390"/>
      <c r="G1194" s="390"/>
      <c r="H1194" s="98"/>
    </row>
    <row r="1195" spans="1:8" ht="18.75" customHeight="1">
      <c r="A1195" s="580" t="s">
        <v>168</v>
      </c>
      <c r="B1195" s="580"/>
      <c r="C1195" s="580"/>
      <c r="D1195" s="580"/>
      <c r="E1195" s="580"/>
      <c r="F1195" s="580"/>
      <c r="G1195" s="580"/>
      <c r="H1195" s="580"/>
    </row>
    <row r="1196" spans="1:8" ht="15.75">
      <c r="A1196" s="391"/>
      <c r="B1196" s="391"/>
      <c r="C1196" s="391"/>
      <c r="D1196" s="391"/>
      <c r="E1196" s="391"/>
      <c r="F1196" s="391"/>
      <c r="G1196" s="391"/>
      <c r="H1196" s="391"/>
    </row>
    <row r="1198" ht="15.75">
      <c r="H1198" s="6" t="s">
        <v>113</v>
      </c>
    </row>
    <row r="1199" ht="15.75">
      <c r="H1199" s="6" t="s">
        <v>114</v>
      </c>
    </row>
    <row r="1200" ht="15.75">
      <c r="H1200" s="6" t="s">
        <v>115</v>
      </c>
    </row>
    <row r="1201" ht="15.75">
      <c r="H1201" s="6"/>
    </row>
    <row r="1202" spans="1:8" ht="18.75" customHeight="1">
      <c r="A1202" s="622" t="s">
        <v>116</v>
      </c>
      <c r="B1202" s="622"/>
      <c r="C1202" s="622"/>
      <c r="D1202" s="622"/>
      <c r="E1202" s="622"/>
      <c r="F1202" s="622"/>
      <c r="G1202" s="622"/>
      <c r="H1202" s="622"/>
    </row>
    <row r="1203" spans="1:8" ht="18.75" customHeight="1">
      <c r="A1203" s="622" t="s">
        <v>117</v>
      </c>
      <c r="B1203" s="622"/>
      <c r="C1203" s="622"/>
      <c r="D1203" s="622"/>
      <c r="E1203" s="622"/>
      <c r="F1203" s="622"/>
      <c r="G1203" s="622"/>
      <c r="H1203" s="622"/>
    </row>
    <row r="1204" ht="15.75">
      <c r="H1204" s="6" t="s">
        <v>562</v>
      </c>
    </row>
    <row r="1205" ht="15.75">
      <c r="H1205" s="6" t="s">
        <v>241</v>
      </c>
    </row>
    <row r="1206" ht="15.75">
      <c r="H1206" s="6" t="s">
        <v>770</v>
      </c>
    </row>
    <row r="1207" ht="15.75">
      <c r="H1207" s="361" t="str">
        <f>H11</f>
        <v>                         Добровольский К.А.</v>
      </c>
    </row>
    <row r="1208" ht="15.75">
      <c r="H1208" s="6" t="s">
        <v>772</v>
      </c>
    </row>
    <row r="1209" ht="15.75">
      <c r="H1209" s="6" t="s">
        <v>567</v>
      </c>
    </row>
    <row r="1210" ht="15.75">
      <c r="A1210" s="362"/>
    </row>
    <row r="1211" ht="15.75">
      <c r="A1211" s="3" t="s">
        <v>242</v>
      </c>
    </row>
    <row r="1212" spans="1:8" ht="18.75" customHeight="1">
      <c r="A1212" s="623" t="s">
        <v>120</v>
      </c>
      <c r="B1212" s="623"/>
      <c r="C1212" s="623"/>
      <c r="D1212" s="623"/>
      <c r="E1212" s="623"/>
      <c r="F1212" s="623"/>
      <c r="G1212" s="623"/>
      <c r="H1212" s="623"/>
    </row>
    <row r="1213" spans="1:8" ht="15.75">
      <c r="A1213" s="364"/>
      <c r="B1213" s="364"/>
      <c r="C1213" s="366"/>
      <c r="D1213" s="366"/>
      <c r="E1213" s="366"/>
      <c r="F1213" s="366"/>
      <c r="G1213" s="366"/>
      <c r="H1213" s="366"/>
    </row>
    <row r="1214" spans="1:8" ht="16.5" customHeight="1">
      <c r="A1214" s="581" t="s">
        <v>121</v>
      </c>
      <c r="B1214" s="559" t="s">
        <v>122</v>
      </c>
      <c r="C1214" s="560" t="s">
        <v>123</v>
      </c>
      <c r="D1214" s="560"/>
      <c r="E1214" s="560"/>
      <c r="F1214" s="560"/>
      <c r="G1214" s="561" t="s">
        <v>124</v>
      </c>
      <c r="H1214" s="581" t="s">
        <v>125</v>
      </c>
    </row>
    <row r="1215" spans="1:8" ht="15.75">
      <c r="A1215" s="581"/>
      <c r="B1215" s="559"/>
      <c r="C1215" s="560"/>
      <c r="D1215" s="560"/>
      <c r="E1215" s="560"/>
      <c r="F1215" s="560"/>
      <c r="G1215" s="561"/>
      <c r="H1215" s="581"/>
    </row>
    <row r="1216" spans="1:8" ht="31.5">
      <c r="A1216" s="581"/>
      <c r="B1216" s="559"/>
      <c r="C1216" s="369" t="s">
        <v>126</v>
      </c>
      <c r="D1216" s="369" t="s">
        <v>127</v>
      </c>
      <c r="E1216" s="370" t="s">
        <v>126</v>
      </c>
      <c r="F1216" s="371" t="s">
        <v>127</v>
      </c>
      <c r="G1216" s="561"/>
      <c r="H1216" s="581"/>
    </row>
    <row r="1217" spans="1:8" ht="15.75">
      <c r="A1217" s="367">
        <v>1</v>
      </c>
      <c r="B1217" s="367">
        <v>2</v>
      </c>
      <c r="C1217" s="372">
        <v>3</v>
      </c>
      <c r="D1217" s="372">
        <v>4</v>
      </c>
      <c r="E1217" s="373"/>
      <c r="F1217" s="374"/>
      <c r="G1217" s="368">
        <v>5</v>
      </c>
      <c r="H1217" s="367">
        <v>6</v>
      </c>
    </row>
    <row r="1218" spans="1:8" ht="18.75" customHeight="1">
      <c r="A1218" s="375">
        <v>1</v>
      </c>
      <c r="B1218" s="582" t="s">
        <v>128</v>
      </c>
      <c r="C1218" s="582"/>
      <c r="D1218" s="582"/>
      <c r="E1218" s="582"/>
      <c r="F1218" s="582"/>
      <c r="G1218" s="582"/>
      <c r="H1218" s="582"/>
    </row>
    <row r="1219" spans="1:8" ht="15.75">
      <c r="A1219" s="376" t="s">
        <v>594</v>
      </c>
      <c r="B1219" s="377" t="s">
        <v>129</v>
      </c>
      <c r="C1219" s="378" t="s">
        <v>26</v>
      </c>
      <c r="D1219" s="378" t="s">
        <v>26</v>
      </c>
      <c r="E1219" s="378" t="s">
        <v>26</v>
      </c>
      <c r="F1219" s="378" t="s">
        <v>26</v>
      </c>
      <c r="G1219" s="378" t="s">
        <v>26</v>
      </c>
      <c r="H1219" s="379" t="s">
        <v>130</v>
      </c>
    </row>
    <row r="1220" spans="1:8" ht="15.75">
      <c r="A1220" s="376" t="s">
        <v>735</v>
      </c>
      <c r="B1220" s="377" t="s">
        <v>131</v>
      </c>
      <c r="C1220" s="378" t="s">
        <v>26</v>
      </c>
      <c r="D1220" s="378" t="s">
        <v>26</v>
      </c>
      <c r="E1220" s="378" t="s">
        <v>26</v>
      </c>
      <c r="F1220" s="378" t="s">
        <v>26</v>
      </c>
      <c r="G1220" s="378" t="s">
        <v>26</v>
      </c>
      <c r="H1220" s="379" t="s">
        <v>130</v>
      </c>
    </row>
    <row r="1221" spans="1:8" ht="31.5">
      <c r="A1221" s="376" t="s">
        <v>737</v>
      </c>
      <c r="B1221" s="381" t="s">
        <v>132</v>
      </c>
      <c r="C1221" s="566" t="s">
        <v>88</v>
      </c>
      <c r="D1221" s="566" t="s">
        <v>89</v>
      </c>
      <c r="E1221" s="378" t="s">
        <v>26</v>
      </c>
      <c r="F1221" s="378" t="s">
        <v>26</v>
      </c>
      <c r="G1221" s="378" t="s">
        <v>26</v>
      </c>
      <c r="H1221" s="379" t="s">
        <v>130</v>
      </c>
    </row>
    <row r="1222" spans="1:8" ht="47.25">
      <c r="A1222" s="376" t="s">
        <v>739</v>
      </c>
      <c r="B1222" s="381" t="s">
        <v>133</v>
      </c>
      <c r="C1222" s="566" t="s">
        <v>90</v>
      </c>
      <c r="D1222" s="566" t="s">
        <v>91</v>
      </c>
      <c r="E1222" s="378" t="s">
        <v>26</v>
      </c>
      <c r="F1222" s="378" t="s">
        <v>26</v>
      </c>
      <c r="G1222" s="378" t="s">
        <v>26</v>
      </c>
      <c r="H1222" s="379" t="s">
        <v>130</v>
      </c>
    </row>
    <row r="1223" spans="1:8" ht="15.75">
      <c r="A1223" s="376" t="s">
        <v>852</v>
      </c>
      <c r="B1223" s="382" t="s">
        <v>134</v>
      </c>
      <c r="C1223" s="566" t="s">
        <v>92</v>
      </c>
      <c r="D1223" s="566" t="s">
        <v>93</v>
      </c>
      <c r="E1223" s="378" t="s">
        <v>26</v>
      </c>
      <c r="F1223" s="378" t="s">
        <v>26</v>
      </c>
      <c r="G1223" s="378" t="s">
        <v>26</v>
      </c>
      <c r="H1223" s="379" t="s">
        <v>130</v>
      </c>
    </row>
    <row r="1224" spans="1:8" ht="15.75">
      <c r="A1224" s="376" t="s">
        <v>853</v>
      </c>
      <c r="B1224" s="382" t="s">
        <v>135</v>
      </c>
      <c r="C1224" s="566" t="s">
        <v>88</v>
      </c>
      <c r="D1224" s="566" t="s">
        <v>94</v>
      </c>
      <c r="E1224" s="378" t="s">
        <v>26</v>
      </c>
      <c r="F1224" s="378" t="s">
        <v>26</v>
      </c>
      <c r="G1224" s="378" t="s">
        <v>26</v>
      </c>
      <c r="H1224" s="379" t="s">
        <v>130</v>
      </c>
    </row>
    <row r="1225" spans="1:8" ht="18.75" customHeight="1">
      <c r="A1225" s="376">
        <v>2</v>
      </c>
      <c r="B1225" s="579" t="s">
        <v>136</v>
      </c>
      <c r="C1225" s="579"/>
      <c r="D1225" s="579"/>
      <c r="E1225" s="579"/>
      <c r="F1225" s="579"/>
      <c r="G1225" s="579"/>
      <c r="H1225" s="579"/>
    </row>
    <row r="1226" spans="1:8" ht="31.5">
      <c r="A1226" s="376" t="s">
        <v>743</v>
      </c>
      <c r="B1226" s="381" t="s">
        <v>137</v>
      </c>
      <c r="C1226" s="378" t="s">
        <v>234</v>
      </c>
      <c r="D1226" s="378" t="s">
        <v>235</v>
      </c>
      <c r="E1226" s="378" t="s">
        <v>26</v>
      </c>
      <c r="F1226" s="378" t="s">
        <v>26</v>
      </c>
      <c r="G1226" s="383">
        <v>0</v>
      </c>
      <c r="H1226" s="379"/>
    </row>
    <row r="1227" spans="1:8" ht="47.25">
      <c r="A1227" s="376" t="s">
        <v>746</v>
      </c>
      <c r="B1227" s="381" t="s">
        <v>140</v>
      </c>
      <c r="C1227" s="378" t="s">
        <v>26</v>
      </c>
      <c r="D1227" s="378" t="s">
        <v>26</v>
      </c>
      <c r="E1227" s="378" t="s">
        <v>26</v>
      </c>
      <c r="F1227" s="378" t="s">
        <v>26</v>
      </c>
      <c r="G1227" s="378" t="s">
        <v>26</v>
      </c>
      <c r="H1227" s="379" t="s">
        <v>130</v>
      </c>
    </row>
    <row r="1228" spans="1:8" ht="31.5">
      <c r="A1228" s="376" t="s">
        <v>141</v>
      </c>
      <c r="B1228" s="381" t="s">
        <v>142</v>
      </c>
      <c r="C1228" s="378" t="s">
        <v>26</v>
      </c>
      <c r="D1228" s="378" t="s">
        <v>26</v>
      </c>
      <c r="E1228" s="378" t="s">
        <v>26</v>
      </c>
      <c r="F1228" s="378" t="s">
        <v>26</v>
      </c>
      <c r="G1228" s="378" t="s">
        <v>26</v>
      </c>
      <c r="H1228" s="379" t="s">
        <v>130</v>
      </c>
    </row>
    <row r="1229" spans="1:8" ht="18.75" customHeight="1">
      <c r="A1229" s="376">
        <v>3</v>
      </c>
      <c r="B1229" s="579" t="s">
        <v>184</v>
      </c>
      <c r="C1229" s="579"/>
      <c r="D1229" s="579"/>
      <c r="E1229" s="579"/>
      <c r="F1229" s="579"/>
      <c r="G1229" s="579"/>
      <c r="H1229" s="579"/>
    </row>
    <row r="1230" spans="1:8" ht="31.5">
      <c r="A1230" s="376" t="s">
        <v>756</v>
      </c>
      <c r="B1230" s="382" t="s">
        <v>144</v>
      </c>
      <c r="C1230" s="378" t="s">
        <v>26</v>
      </c>
      <c r="D1230" s="378" t="s">
        <v>26</v>
      </c>
      <c r="E1230" s="378" t="s">
        <v>26</v>
      </c>
      <c r="F1230" s="378" t="s">
        <v>26</v>
      </c>
      <c r="G1230" s="378" t="s">
        <v>26</v>
      </c>
      <c r="H1230" s="379" t="s">
        <v>130</v>
      </c>
    </row>
    <row r="1231" spans="1:8" ht="15.75">
      <c r="A1231" s="376" t="s">
        <v>757</v>
      </c>
      <c r="B1231" s="382" t="s">
        <v>145</v>
      </c>
      <c r="C1231" s="378" t="s">
        <v>234</v>
      </c>
      <c r="D1231" s="378" t="s">
        <v>230</v>
      </c>
      <c r="E1231" s="378" t="s">
        <v>26</v>
      </c>
      <c r="F1231" s="378" t="s">
        <v>26</v>
      </c>
      <c r="G1231" s="383">
        <v>0</v>
      </c>
      <c r="H1231" s="379"/>
    </row>
    <row r="1232" spans="1:8" ht="15.75">
      <c r="A1232" s="376" t="s">
        <v>147</v>
      </c>
      <c r="B1232" s="382" t="s">
        <v>148</v>
      </c>
      <c r="C1232" s="378" t="s">
        <v>236</v>
      </c>
      <c r="D1232" s="378" t="s">
        <v>224</v>
      </c>
      <c r="E1232" s="378" t="s">
        <v>26</v>
      </c>
      <c r="F1232" s="378" t="s">
        <v>26</v>
      </c>
      <c r="G1232" s="383">
        <v>0</v>
      </c>
      <c r="H1232" s="379"/>
    </row>
    <row r="1233" spans="1:8" ht="15.75">
      <c r="A1233" s="376" t="s">
        <v>151</v>
      </c>
      <c r="B1233" s="382" t="s">
        <v>152</v>
      </c>
      <c r="C1233" s="378" t="s">
        <v>237</v>
      </c>
      <c r="D1233" s="378" t="s">
        <v>238</v>
      </c>
      <c r="E1233" s="378" t="s">
        <v>26</v>
      </c>
      <c r="F1233" s="378" t="s">
        <v>26</v>
      </c>
      <c r="G1233" s="383">
        <v>0</v>
      </c>
      <c r="H1233" s="379"/>
    </row>
    <row r="1234" spans="1:8" ht="15.75">
      <c r="A1234" s="376" t="s">
        <v>155</v>
      </c>
      <c r="B1234" s="382" t="s">
        <v>156</v>
      </c>
      <c r="C1234" s="378" t="s">
        <v>239</v>
      </c>
      <c r="D1234" s="378" t="s">
        <v>235</v>
      </c>
      <c r="E1234" s="378" t="s">
        <v>26</v>
      </c>
      <c r="F1234" s="378" t="s">
        <v>26</v>
      </c>
      <c r="G1234" s="383">
        <v>0</v>
      </c>
      <c r="H1234" s="379"/>
    </row>
    <row r="1235" spans="1:8" ht="18.75" customHeight="1">
      <c r="A1235" s="376">
        <v>4</v>
      </c>
      <c r="B1235" s="579" t="s">
        <v>159</v>
      </c>
      <c r="C1235" s="579"/>
      <c r="D1235" s="579"/>
      <c r="E1235" s="579"/>
      <c r="F1235" s="579"/>
      <c r="G1235" s="579"/>
      <c r="H1235" s="579"/>
    </row>
    <row r="1236" spans="1:8" ht="31.5">
      <c r="A1236" s="376" t="s">
        <v>160</v>
      </c>
      <c r="B1236" s="381" t="s">
        <v>161</v>
      </c>
      <c r="C1236" s="378" t="s">
        <v>26</v>
      </c>
      <c r="D1236" s="378" t="s">
        <v>26</v>
      </c>
      <c r="E1236" s="378" t="s">
        <v>26</v>
      </c>
      <c r="F1236" s="378" t="s">
        <v>26</v>
      </c>
      <c r="G1236" s="378" t="s">
        <v>26</v>
      </c>
      <c r="H1236" s="379" t="s">
        <v>130</v>
      </c>
    </row>
    <row r="1237" spans="1:8" ht="47.25">
      <c r="A1237" s="376" t="s">
        <v>162</v>
      </c>
      <c r="B1237" s="381" t="s">
        <v>163</v>
      </c>
      <c r="C1237" s="378" t="s">
        <v>26</v>
      </c>
      <c r="D1237" s="378" t="s">
        <v>26</v>
      </c>
      <c r="E1237" s="378" t="s">
        <v>26</v>
      </c>
      <c r="F1237" s="378" t="s">
        <v>26</v>
      </c>
      <c r="G1237" s="378" t="s">
        <v>26</v>
      </c>
      <c r="H1237" s="379" t="s">
        <v>130</v>
      </c>
    </row>
    <row r="1238" spans="1:8" ht="31.5">
      <c r="A1238" s="376" t="s">
        <v>164</v>
      </c>
      <c r="B1238" s="382" t="s">
        <v>165</v>
      </c>
      <c r="C1238" s="378" t="s">
        <v>26</v>
      </c>
      <c r="D1238" s="378" t="s">
        <v>26</v>
      </c>
      <c r="E1238" s="378" t="s">
        <v>26</v>
      </c>
      <c r="F1238" s="378" t="s">
        <v>26</v>
      </c>
      <c r="G1238" s="378" t="s">
        <v>26</v>
      </c>
      <c r="H1238" s="379" t="s">
        <v>130</v>
      </c>
    </row>
    <row r="1239" spans="1:8" ht="31.5">
      <c r="A1239" s="384" t="s">
        <v>166</v>
      </c>
      <c r="B1239" s="385" t="s">
        <v>167</v>
      </c>
      <c r="C1239" s="386" t="s">
        <v>26</v>
      </c>
      <c r="D1239" s="386" t="s">
        <v>26</v>
      </c>
      <c r="E1239" s="386" t="s">
        <v>26</v>
      </c>
      <c r="F1239" s="386" t="s">
        <v>26</v>
      </c>
      <c r="G1239" s="386" t="s">
        <v>26</v>
      </c>
      <c r="H1239" s="387" t="s">
        <v>130</v>
      </c>
    </row>
    <row r="1240" spans="1:8" ht="15.75">
      <c r="A1240" s="388"/>
      <c r="B1240" s="389"/>
      <c r="C1240" s="390"/>
      <c r="D1240" s="390"/>
      <c r="E1240" s="390"/>
      <c r="F1240" s="390"/>
      <c r="G1240" s="390"/>
      <c r="H1240" s="98"/>
    </row>
    <row r="1241" spans="1:8" ht="18.75" customHeight="1">
      <c r="A1241" s="580" t="s">
        <v>168</v>
      </c>
      <c r="B1241" s="580"/>
      <c r="C1241" s="580"/>
      <c r="D1241" s="580"/>
      <c r="E1241" s="580"/>
      <c r="F1241" s="580"/>
      <c r="G1241" s="580"/>
      <c r="H1241" s="580"/>
    </row>
    <row r="1242" spans="1:8" ht="15.75">
      <c r="A1242" s="391"/>
      <c r="B1242" s="391"/>
      <c r="C1242" s="391"/>
      <c r="D1242" s="391"/>
      <c r="E1242" s="391"/>
      <c r="F1242" s="391"/>
      <c r="G1242" s="391"/>
      <c r="H1242" s="391"/>
    </row>
    <row r="1244" ht="15.75">
      <c r="H1244" s="6" t="s">
        <v>113</v>
      </c>
    </row>
    <row r="1245" ht="15.75">
      <c r="H1245" s="6" t="s">
        <v>114</v>
      </c>
    </row>
    <row r="1246" ht="15.75">
      <c r="H1246" s="6" t="s">
        <v>115</v>
      </c>
    </row>
    <row r="1247" ht="15.75">
      <c r="H1247" s="6"/>
    </row>
    <row r="1248" spans="1:8" ht="18.75" customHeight="1">
      <c r="A1248" s="622" t="s">
        <v>116</v>
      </c>
      <c r="B1248" s="622"/>
      <c r="C1248" s="622"/>
      <c r="D1248" s="622"/>
      <c r="E1248" s="622"/>
      <c r="F1248" s="622"/>
      <c r="G1248" s="622"/>
      <c r="H1248" s="622"/>
    </row>
    <row r="1249" spans="1:8" ht="18.75" customHeight="1">
      <c r="A1249" s="622" t="s">
        <v>117</v>
      </c>
      <c r="B1249" s="622"/>
      <c r="C1249" s="622"/>
      <c r="D1249" s="622"/>
      <c r="E1249" s="622"/>
      <c r="F1249" s="622"/>
      <c r="G1249" s="622"/>
      <c r="H1249" s="622"/>
    </row>
    <row r="1250" ht="15.75">
      <c r="H1250" s="6" t="s">
        <v>562</v>
      </c>
    </row>
    <row r="1251" ht="15.75">
      <c r="H1251" s="6" t="s">
        <v>769</v>
      </c>
    </row>
    <row r="1252" ht="15.75">
      <c r="H1252" s="6" t="s">
        <v>770</v>
      </c>
    </row>
    <row r="1253" ht="15.75">
      <c r="H1253" s="361" t="str">
        <f>H11</f>
        <v>                         Добровольский К.А.</v>
      </c>
    </row>
    <row r="1254" ht="15.75">
      <c r="H1254" s="6" t="s">
        <v>772</v>
      </c>
    </row>
    <row r="1255" ht="15.75">
      <c r="H1255" s="6" t="s">
        <v>567</v>
      </c>
    </row>
    <row r="1256" ht="15.75">
      <c r="A1256" s="362"/>
    </row>
    <row r="1257" ht="15.75">
      <c r="A1257" s="3" t="s">
        <v>243</v>
      </c>
    </row>
    <row r="1258" spans="1:8" ht="18.75" customHeight="1">
      <c r="A1258" s="623" t="s">
        <v>120</v>
      </c>
      <c r="B1258" s="623"/>
      <c r="C1258" s="623"/>
      <c r="D1258" s="623"/>
      <c r="E1258" s="623"/>
      <c r="F1258" s="623"/>
      <c r="G1258" s="623"/>
      <c r="H1258" s="623"/>
    </row>
    <row r="1259" spans="1:8" ht="15.75">
      <c r="A1259" s="364"/>
      <c r="B1259" s="364"/>
      <c r="C1259" s="366"/>
      <c r="D1259" s="366"/>
      <c r="E1259" s="366"/>
      <c r="F1259" s="366"/>
      <c r="G1259" s="366"/>
      <c r="H1259" s="366"/>
    </row>
    <row r="1260" spans="1:8" ht="16.5" customHeight="1">
      <c r="A1260" s="581" t="s">
        <v>121</v>
      </c>
      <c r="B1260" s="559" t="s">
        <v>122</v>
      </c>
      <c r="C1260" s="560" t="s">
        <v>123</v>
      </c>
      <c r="D1260" s="560"/>
      <c r="E1260" s="560"/>
      <c r="F1260" s="560"/>
      <c r="G1260" s="561" t="s">
        <v>124</v>
      </c>
      <c r="H1260" s="581" t="s">
        <v>125</v>
      </c>
    </row>
    <row r="1261" spans="1:8" ht="15.75">
      <c r="A1261" s="581"/>
      <c r="B1261" s="559"/>
      <c r="C1261" s="560"/>
      <c r="D1261" s="560"/>
      <c r="E1261" s="560"/>
      <c r="F1261" s="560"/>
      <c r="G1261" s="561"/>
      <c r="H1261" s="581"/>
    </row>
    <row r="1262" spans="1:8" ht="31.5">
      <c r="A1262" s="581"/>
      <c r="B1262" s="559"/>
      <c r="C1262" s="369" t="s">
        <v>126</v>
      </c>
      <c r="D1262" s="369" t="s">
        <v>127</v>
      </c>
      <c r="E1262" s="370" t="s">
        <v>126</v>
      </c>
      <c r="F1262" s="371" t="s">
        <v>127</v>
      </c>
      <c r="G1262" s="561"/>
      <c r="H1262" s="581"/>
    </row>
    <row r="1263" spans="1:8" ht="15.75">
      <c r="A1263" s="367">
        <v>1</v>
      </c>
      <c r="B1263" s="367">
        <v>2</v>
      </c>
      <c r="C1263" s="372">
        <v>3</v>
      </c>
      <c r="D1263" s="372">
        <v>4</v>
      </c>
      <c r="E1263" s="373"/>
      <c r="F1263" s="374"/>
      <c r="G1263" s="368">
        <v>5</v>
      </c>
      <c r="H1263" s="367">
        <v>6</v>
      </c>
    </row>
    <row r="1264" spans="1:8" ht="18.75" customHeight="1">
      <c r="A1264" s="375">
        <v>1</v>
      </c>
      <c r="B1264" s="582" t="s">
        <v>128</v>
      </c>
      <c r="C1264" s="582"/>
      <c r="D1264" s="582"/>
      <c r="E1264" s="582"/>
      <c r="F1264" s="582"/>
      <c r="G1264" s="582"/>
      <c r="H1264" s="582"/>
    </row>
    <row r="1265" spans="1:8" ht="15.75">
      <c r="A1265" s="376" t="s">
        <v>594</v>
      </c>
      <c r="B1265" s="377" t="s">
        <v>129</v>
      </c>
      <c r="C1265" s="378" t="s">
        <v>26</v>
      </c>
      <c r="D1265" s="378" t="s">
        <v>26</v>
      </c>
      <c r="E1265" s="378" t="s">
        <v>26</v>
      </c>
      <c r="F1265" s="378" t="s">
        <v>26</v>
      </c>
      <c r="G1265" s="378" t="s">
        <v>26</v>
      </c>
      <c r="H1265" s="379" t="s">
        <v>130</v>
      </c>
    </row>
    <row r="1266" spans="1:8" ht="15.75">
      <c r="A1266" s="376" t="s">
        <v>735</v>
      </c>
      <c r="B1266" s="377" t="s">
        <v>131</v>
      </c>
      <c r="C1266" s="378" t="s">
        <v>26</v>
      </c>
      <c r="D1266" s="378" t="s">
        <v>26</v>
      </c>
      <c r="E1266" s="378" t="s">
        <v>26</v>
      </c>
      <c r="F1266" s="378" t="s">
        <v>26</v>
      </c>
      <c r="G1266" s="378" t="s">
        <v>26</v>
      </c>
      <c r="H1266" s="379" t="s">
        <v>130</v>
      </c>
    </row>
    <row r="1267" spans="1:8" ht="31.5">
      <c r="A1267" s="376" t="s">
        <v>737</v>
      </c>
      <c r="B1267" s="381" t="s">
        <v>132</v>
      </c>
      <c r="C1267" s="566" t="s">
        <v>88</v>
      </c>
      <c r="D1267" s="566" t="s">
        <v>89</v>
      </c>
      <c r="E1267" s="378" t="s">
        <v>26</v>
      </c>
      <c r="F1267" s="378" t="s">
        <v>26</v>
      </c>
      <c r="G1267" s="378" t="s">
        <v>26</v>
      </c>
      <c r="H1267" s="379" t="s">
        <v>130</v>
      </c>
    </row>
    <row r="1268" spans="1:8" ht="47.25">
      <c r="A1268" s="376" t="s">
        <v>739</v>
      </c>
      <c r="B1268" s="381" t="s">
        <v>133</v>
      </c>
      <c r="C1268" s="566" t="s">
        <v>90</v>
      </c>
      <c r="D1268" s="566" t="s">
        <v>91</v>
      </c>
      <c r="E1268" s="378" t="s">
        <v>26</v>
      </c>
      <c r="F1268" s="378" t="s">
        <v>26</v>
      </c>
      <c r="G1268" s="378" t="s">
        <v>26</v>
      </c>
      <c r="H1268" s="379" t="s">
        <v>130</v>
      </c>
    </row>
    <row r="1269" spans="1:8" ht="15.75">
      <c r="A1269" s="376" t="s">
        <v>852</v>
      </c>
      <c r="B1269" s="382" t="s">
        <v>134</v>
      </c>
      <c r="C1269" s="566" t="s">
        <v>92</v>
      </c>
      <c r="D1269" s="566" t="s">
        <v>93</v>
      </c>
      <c r="E1269" s="378" t="s">
        <v>26</v>
      </c>
      <c r="F1269" s="378" t="s">
        <v>26</v>
      </c>
      <c r="G1269" s="378" t="s">
        <v>26</v>
      </c>
      <c r="H1269" s="379" t="s">
        <v>130</v>
      </c>
    </row>
    <row r="1270" spans="1:8" ht="15.75">
      <c r="A1270" s="376" t="s">
        <v>853</v>
      </c>
      <c r="B1270" s="382" t="s">
        <v>135</v>
      </c>
      <c r="C1270" s="566" t="s">
        <v>88</v>
      </c>
      <c r="D1270" s="566" t="s">
        <v>94</v>
      </c>
      <c r="E1270" s="378" t="s">
        <v>26</v>
      </c>
      <c r="F1270" s="378" t="s">
        <v>26</v>
      </c>
      <c r="G1270" s="378" t="s">
        <v>26</v>
      </c>
      <c r="H1270" s="379" t="s">
        <v>130</v>
      </c>
    </row>
    <row r="1271" spans="1:8" ht="18.75" customHeight="1">
      <c r="A1271" s="376">
        <v>2</v>
      </c>
      <c r="B1271" s="579" t="s">
        <v>136</v>
      </c>
      <c r="C1271" s="579"/>
      <c r="D1271" s="579"/>
      <c r="E1271" s="579"/>
      <c r="F1271" s="579"/>
      <c r="G1271" s="579"/>
      <c r="H1271" s="579"/>
    </row>
    <row r="1272" spans="1:8" ht="31.5">
      <c r="A1272" s="376" t="s">
        <v>743</v>
      </c>
      <c r="B1272" s="381" t="s">
        <v>137</v>
      </c>
      <c r="C1272" s="378" t="s">
        <v>234</v>
      </c>
      <c r="D1272" s="378" t="s">
        <v>235</v>
      </c>
      <c r="E1272" s="378" t="s">
        <v>26</v>
      </c>
      <c r="F1272" s="378" t="s">
        <v>26</v>
      </c>
      <c r="G1272" s="383">
        <v>0</v>
      </c>
      <c r="H1272" s="379"/>
    </row>
    <row r="1273" spans="1:8" ht="47.25">
      <c r="A1273" s="376" t="s">
        <v>746</v>
      </c>
      <c r="B1273" s="381" t="s">
        <v>140</v>
      </c>
      <c r="C1273" s="378" t="s">
        <v>26</v>
      </c>
      <c r="D1273" s="378" t="s">
        <v>26</v>
      </c>
      <c r="E1273" s="378" t="s">
        <v>26</v>
      </c>
      <c r="F1273" s="378" t="s">
        <v>26</v>
      </c>
      <c r="G1273" s="378" t="s">
        <v>26</v>
      </c>
      <c r="H1273" s="379" t="s">
        <v>130</v>
      </c>
    </row>
    <row r="1274" spans="1:8" ht="31.5">
      <c r="A1274" s="376" t="s">
        <v>141</v>
      </c>
      <c r="B1274" s="381" t="s">
        <v>142</v>
      </c>
      <c r="C1274" s="378" t="s">
        <v>26</v>
      </c>
      <c r="D1274" s="378" t="s">
        <v>26</v>
      </c>
      <c r="E1274" s="378" t="s">
        <v>26</v>
      </c>
      <c r="F1274" s="378" t="s">
        <v>26</v>
      </c>
      <c r="G1274" s="378" t="s">
        <v>26</v>
      </c>
      <c r="H1274" s="379" t="s">
        <v>130</v>
      </c>
    </row>
    <row r="1275" spans="1:8" ht="18.75" customHeight="1">
      <c r="A1275" s="376">
        <v>3</v>
      </c>
      <c r="B1275" s="579" t="s">
        <v>184</v>
      </c>
      <c r="C1275" s="579"/>
      <c r="D1275" s="579"/>
      <c r="E1275" s="579"/>
      <c r="F1275" s="579"/>
      <c r="G1275" s="579"/>
      <c r="H1275" s="579"/>
    </row>
    <row r="1276" spans="1:8" ht="31.5">
      <c r="A1276" s="376" t="s">
        <v>756</v>
      </c>
      <c r="B1276" s="382" t="s">
        <v>144</v>
      </c>
      <c r="C1276" s="378" t="s">
        <v>26</v>
      </c>
      <c r="D1276" s="378" t="s">
        <v>26</v>
      </c>
      <c r="E1276" s="378" t="s">
        <v>26</v>
      </c>
      <c r="F1276" s="378" t="s">
        <v>26</v>
      </c>
      <c r="G1276" s="378" t="s">
        <v>26</v>
      </c>
      <c r="H1276" s="379" t="s">
        <v>130</v>
      </c>
    </row>
    <row r="1277" spans="1:8" ht="15.75">
      <c r="A1277" s="376" t="s">
        <v>757</v>
      </c>
      <c r="B1277" s="382" t="s">
        <v>145</v>
      </c>
      <c r="C1277" s="378" t="s">
        <v>234</v>
      </c>
      <c r="D1277" s="378" t="s">
        <v>230</v>
      </c>
      <c r="E1277" s="378" t="s">
        <v>26</v>
      </c>
      <c r="F1277" s="378" t="s">
        <v>26</v>
      </c>
      <c r="G1277" s="383">
        <v>0</v>
      </c>
      <c r="H1277" s="379"/>
    </row>
    <row r="1278" spans="1:8" ht="15.75">
      <c r="A1278" s="376" t="s">
        <v>147</v>
      </c>
      <c r="B1278" s="382" t="s">
        <v>148</v>
      </c>
      <c r="C1278" s="378" t="s">
        <v>236</v>
      </c>
      <c r="D1278" s="378" t="s">
        <v>224</v>
      </c>
      <c r="E1278" s="378" t="s">
        <v>26</v>
      </c>
      <c r="F1278" s="378" t="s">
        <v>26</v>
      </c>
      <c r="G1278" s="383">
        <v>0</v>
      </c>
      <c r="H1278" s="379"/>
    </row>
    <row r="1279" spans="1:8" ht="15.75">
      <c r="A1279" s="376" t="s">
        <v>151</v>
      </c>
      <c r="B1279" s="382" t="s">
        <v>152</v>
      </c>
      <c r="C1279" s="378" t="s">
        <v>237</v>
      </c>
      <c r="D1279" s="378" t="s">
        <v>238</v>
      </c>
      <c r="E1279" s="378" t="s">
        <v>26</v>
      </c>
      <c r="F1279" s="378" t="s">
        <v>26</v>
      </c>
      <c r="G1279" s="383">
        <v>0</v>
      </c>
      <c r="H1279" s="379"/>
    </row>
    <row r="1280" spans="1:8" ht="15.75">
      <c r="A1280" s="376" t="s">
        <v>155</v>
      </c>
      <c r="B1280" s="382" t="s">
        <v>156</v>
      </c>
      <c r="C1280" s="378" t="s">
        <v>239</v>
      </c>
      <c r="D1280" s="378" t="s">
        <v>235</v>
      </c>
      <c r="E1280" s="378" t="s">
        <v>26</v>
      </c>
      <c r="F1280" s="378" t="s">
        <v>26</v>
      </c>
      <c r="G1280" s="383">
        <v>0</v>
      </c>
      <c r="H1280" s="379"/>
    </row>
    <row r="1281" spans="1:8" ht="18.75" customHeight="1">
      <c r="A1281" s="376">
        <v>4</v>
      </c>
      <c r="B1281" s="579" t="s">
        <v>159</v>
      </c>
      <c r="C1281" s="579"/>
      <c r="D1281" s="579"/>
      <c r="E1281" s="579"/>
      <c r="F1281" s="579"/>
      <c r="G1281" s="579"/>
      <c r="H1281" s="579"/>
    </row>
    <row r="1282" spans="1:8" ht="31.5">
      <c r="A1282" s="376" t="s">
        <v>160</v>
      </c>
      <c r="B1282" s="381" t="s">
        <v>161</v>
      </c>
      <c r="C1282" s="378" t="s">
        <v>26</v>
      </c>
      <c r="D1282" s="378" t="s">
        <v>26</v>
      </c>
      <c r="E1282" s="378" t="s">
        <v>26</v>
      </c>
      <c r="F1282" s="378" t="s">
        <v>26</v>
      </c>
      <c r="G1282" s="378" t="s">
        <v>26</v>
      </c>
      <c r="H1282" s="379" t="s">
        <v>130</v>
      </c>
    </row>
    <row r="1283" spans="1:8" ht="47.25">
      <c r="A1283" s="376" t="s">
        <v>162</v>
      </c>
      <c r="B1283" s="381" t="s">
        <v>163</v>
      </c>
      <c r="C1283" s="378" t="s">
        <v>26</v>
      </c>
      <c r="D1283" s="378" t="s">
        <v>26</v>
      </c>
      <c r="E1283" s="378" t="s">
        <v>26</v>
      </c>
      <c r="F1283" s="378" t="s">
        <v>26</v>
      </c>
      <c r="G1283" s="378" t="s">
        <v>26</v>
      </c>
      <c r="H1283" s="379" t="s">
        <v>130</v>
      </c>
    </row>
    <row r="1284" spans="1:8" ht="31.5">
      <c r="A1284" s="376" t="s">
        <v>164</v>
      </c>
      <c r="B1284" s="382" t="s">
        <v>165</v>
      </c>
      <c r="C1284" s="378" t="s">
        <v>26</v>
      </c>
      <c r="D1284" s="378" t="s">
        <v>26</v>
      </c>
      <c r="E1284" s="378" t="s">
        <v>26</v>
      </c>
      <c r="F1284" s="378" t="s">
        <v>26</v>
      </c>
      <c r="G1284" s="378" t="s">
        <v>26</v>
      </c>
      <c r="H1284" s="379" t="s">
        <v>130</v>
      </c>
    </row>
    <row r="1285" spans="1:8" ht="31.5">
      <c r="A1285" s="384" t="s">
        <v>166</v>
      </c>
      <c r="B1285" s="385" t="s">
        <v>167</v>
      </c>
      <c r="C1285" s="386" t="s">
        <v>26</v>
      </c>
      <c r="D1285" s="386" t="s">
        <v>26</v>
      </c>
      <c r="E1285" s="386" t="s">
        <v>26</v>
      </c>
      <c r="F1285" s="386" t="s">
        <v>26</v>
      </c>
      <c r="G1285" s="386" t="s">
        <v>26</v>
      </c>
      <c r="H1285" s="387" t="s">
        <v>130</v>
      </c>
    </row>
    <row r="1286" spans="1:8" ht="15.75">
      <c r="A1286" s="388"/>
      <c r="B1286" s="389"/>
      <c r="C1286" s="390"/>
      <c r="D1286" s="390"/>
      <c r="E1286" s="390"/>
      <c r="F1286" s="390"/>
      <c r="G1286" s="390"/>
      <c r="H1286" s="98"/>
    </row>
    <row r="1287" spans="1:8" ht="18.75" customHeight="1">
      <c r="A1287" s="580" t="s">
        <v>168</v>
      </c>
      <c r="B1287" s="580"/>
      <c r="C1287" s="580"/>
      <c r="D1287" s="580"/>
      <c r="E1287" s="580"/>
      <c r="F1287" s="580"/>
      <c r="G1287" s="580"/>
      <c r="H1287" s="580"/>
    </row>
    <row r="1288" spans="1:8" ht="15.75">
      <c r="A1288" s="391"/>
      <c r="B1288" s="391"/>
      <c r="C1288" s="391"/>
      <c r="D1288" s="391"/>
      <c r="E1288" s="391"/>
      <c r="F1288" s="391"/>
      <c r="G1288" s="391"/>
      <c r="H1288" s="391"/>
    </row>
    <row r="1290" ht="15.75">
      <c r="H1290" s="6" t="s">
        <v>113</v>
      </c>
    </row>
    <row r="1291" ht="15.75">
      <c r="H1291" s="6" t="s">
        <v>114</v>
      </c>
    </row>
    <row r="1292" ht="15.75">
      <c r="H1292" s="6" t="s">
        <v>115</v>
      </c>
    </row>
    <row r="1293" ht="15.75">
      <c r="H1293" s="6"/>
    </row>
    <row r="1294" spans="1:8" ht="18.75" customHeight="1">
      <c r="A1294" s="622" t="s">
        <v>116</v>
      </c>
      <c r="B1294" s="622"/>
      <c r="C1294" s="622"/>
      <c r="D1294" s="622"/>
      <c r="E1294" s="622"/>
      <c r="F1294" s="622"/>
      <c r="G1294" s="622"/>
      <c r="H1294" s="622"/>
    </row>
    <row r="1295" spans="1:8" ht="18.75" customHeight="1">
      <c r="A1295" s="622" t="s">
        <v>117</v>
      </c>
      <c r="B1295" s="622"/>
      <c r="C1295" s="622"/>
      <c r="D1295" s="622"/>
      <c r="E1295" s="622"/>
      <c r="F1295" s="622"/>
      <c r="G1295" s="622"/>
      <c r="H1295" s="622"/>
    </row>
    <row r="1296" ht="15.75">
      <c r="H1296" s="6" t="s">
        <v>562</v>
      </c>
    </row>
    <row r="1297" ht="15.75">
      <c r="H1297" s="6" t="s">
        <v>769</v>
      </c>
    </row>
    <row r="1298" ht="15.75">
      <c r="H1298" s="6" t="s">
        <v>770</v>
      </c>
    </row>
    <row r="1299" ht="15.75">
      <c r="H1299" s="361" t="str">
        <f>H11</f>
        <v>                         Добровольский К.А.</v>
      </c>
    </row>
    <row r="1300" ht="15.75">
      <c r="H1300" s="6" t="s">
        <v>772</v>
      </c>
    </row>
    <row r="1301" ht="15.75">
      <c r="H1301" s="6" t="s">
        <v>567</v>
      </c>
    </row>
    <row r="1302" ht="15.75">
      <c r="A1302" s="362"/>
    </row>
    <row r="1303" ht="15.75">
      <c r="A1303" s="3" t="s">
        <v>244</v>
      </c>
    </row>
    <row r="1304" spans="1:8" ht="18.75" customHeight="1">
      <c r="A1304" s="623" t="s">
        <v>120</v>
      </c>
      <c r="B1304" s="623"/>
      <c r="C1304" s="623"/>
      <c r="D1304" s="623"/>
      <c r="E1304" s="623"/>
      <c r="F1304" s="623"/>
      <c r="G1304" s="623"/>
      <c r="H1304" s="623"/>
    </row>
    <row r="1305" spans="1:8" ht="15.75">
      <c r="A1305" s="364"/>
      <c r="B1305" s="364"/>
      <c r="C1305" s="366"/>
      <c r="D1305" s="366"/>
      <c r="E1305" s="366"/>
      <c r="F1305" s="366"/>
      <c r="G1305" s="366"/>
      <c r="H1305" s="366"/>
    </row>
    <row r="1306" spans="1:8" ht="16.5" customHeight="1">
      <c r="A1306" s="581" t="s">
        <v>121</v>
      </c>
      <c r="B1306" s="559" t="s">
        <v>122</v>
      </c>
      <c r="C1306" s="560" t="s">
        <v>123</v>
      </c>
      <c r="D1306" s="560"/>
      <c r="E1306" s="560"/>
      <c r="F1306" s="560"/>
      <c r="G1306" s="561" t="s">
        <v>124</v>
      </c>
      <c r="H1306" s="581" t="s">
        <v>125</v>
      </c>
    </row>
    <row r="1307" spans="1:8" ht="15.75">
      <c r="A1307" s="581"/>
      <c r="B1307" s="559"/>
      <c r="C1307" s="560"/>
      <c r="D1307" s="560"/>
      <c r="E1307" s="560"/>
      <c r="F1307" s="560"/>
      <c r="G1307" s="561"/>
      <c r="H1307" s="581"/>
    </row>
    <row r="1308" spans="1:8" ht="31.5">
      <c r="A1308" s="581"/>
      <c r="B1308" s="559"/>
      <c r="C1308" s="369" t="s">
        <v>126</v>
      </c>
      <c r="D1308" s="369" t="s">
        <v>127</v>
      </c>
      <c r="E1308" s="370" t="s">
        <v>126</v>
      </c>
      <c r="F1308" s="371" t="s">
        <v>127</v>
      </c>
      <c r="G1308" s="561"/>
      <c r="H1308" s="581"/>
    </row>
    <row r="1309" spans="1:8" ht="15.75">
      <c r="A1309" s="367">
        <v>1</v>
      </c>
      <c r="B1309" s="367">
        <v>2</v>
      </c>
      <c r="C1309" s="372">
        <v>3</v>
      </c>
      <c r="D1309" s="372">
        <v>4</v>
      </c>
      <c r="E1309" s="373"/>
      <c r="F1309" s="374"/>
      <c r="G1309" s="368">
        <v>5</v>
      </c>
      <c r="H1309" s="367">
        <v>6</v>
      </c>
    </row>
    <row r="1310" spans="1:8" ht="18.75" customHeight="1">
      <c r="A1310" s="375">
        <v>1</v>
      </c>
      <c r="B1310" s="582" t="s">
        <v>128</v>
      </c>
      <c r="C1310" s="582"/>
      <c r="D1310" s="582"/>
      <c r="E1310" s="582"/>
      <c r="F1310" s="582"/>
      <c r="G1310" s="582"/>
      <c r="H1310" s="582"/>
    </row>
    <row r="1311" spans="1:8" ht="15.75">
      <c r="A1311" s="376" t="s">
        <v>594</v>
      </c>
      <c r="B1311" s="377" t="s">
        <v>129</v>
      </c>
      <c r="C1311" s="378" t="s">
        <v>26</v>
      </c>
      <c r="D1311" s="378" t="s">
        <v>26</v>
      </c>
      <c r="E1311" s="378" t="s">
        <v>26</v>
      </c>
      <c r="F1311" s="378" t="s">
        <v>26</v>
      </c>
      <c r="G1311" s="378" t="s">
        <v>26</v>
      </c>
      <c r="H1311" s="379" t="s">
        <v>130</v>
      </c>
    </row>
    <row r="1312" spans="1:8" ht="15.75">
      <c r="A1312" s="376" t="s">
        <v>735</v>
      </c>
      <c r="B1312" s="377" t="s">
        <v>131</v>
      </c>
      <c r="C1312" s="378" t="s">
        <v>26</v>
      </c>
      <c r="D1312" s="378" t="s">
        <v>26</v>
      </c>
      <c r="E1312" s="378" t="s">
        <v>26</v>
      </c>
      <c r="F1312" s="378" t="s">
        <v>26</v>
      </c>
      <c r="G1312" s="378" t="s">
        <v>26</v>
      </c>
      <c r="H1312" s="379" t="s">
        <v>130</v>
      </c>
    </row>
    <row r="1313" spans="1:8" ht="31.5">
      <c r="A1313" s="376" t="s">
        <v>737</v>
      </c>
      <c r="B1313" s="381" t="s">
        <v>132</v>
      </c>
      <c r="C1313" s="566" t="s">
        <v>88</v>
      </c>
      <c r="D1313" s="566" t="s">
        <v>89</v>
      </c>
      <c r="E1313" s="378" t="s">
        <v>26</v>
      </c>
      <c r="F1313" s="378" t="s">
        <v>26</v>
      </c>
      <c r="G1313" s="378" t="s">
        <v>26</v>
      </c>
      <c r="H1313" s="379" t="s">
        <v>130</v>
      </c>
    </row>
    <row r="1314" spans="1:8" ht="47.25">
      <c r="A1314" s="376" t="s">
        <v>739</v>
      </c>
      <c r="B1314" s="381" t="s">
        <v>133</v>
      </c>
      <c r="C1314" s="566" t="s">
        <v>90</v>
      </c>
      <c r="D1314" s="566" t="s">
        <v>91</v>
      </c>
      <c r="E1314" s="378" t="s">
        <v>26</v>
      </c>
      <c r="F1314" s="378" t="s">
        <v>26</v>
      </c>
      <c r="G1314" s="378" t="s">
        <v>26</v>
      </c>
      <c r="H1314" s="379" t="s">
        <v>130</v>
      </c>
    </row>
    <row r="1315" spans="1:8" ht="15.75">
      <c r="A1315" s="376" t="s">
        <v>852</v>
      </c>
      <c r="B1315" s="382" t="s">
        <v>134</v>
      </c>
      <c r="C1315" s="566" t="s">
        <v>92</v>
      </c>
      <c r="D1315" s="566" t="s">
        <v>93</v>
      </c>
      <c r="E1315" s="378" t="s">
        <v>26</v>
      </c>
      <c r="F1315" s="378" t="s">
        <v>26</v>
      </c>
      <c r="G1315" s="378" t="s">
        <v>26</v>
      </c>
      <c r="H1315" s="379" t="s">
        <v>130</v>
      </c>
    </row>
    <row r="1316" spans="1:8" ht="15.75">
      <c r="A1316" s="376" t="s">
        <v>853</v>
      </c>
      <c r="B1316" s="382" t="s">
        <v>135</v>
      </c>
      <c r="C1316" s="566" t="s">
        <v>88</v>
      </c>
      <c r="D1316" s="566" t="s">
        <v>234</v>
      </c>
      <c r="E1316" s="378" t="s">
        <v>26</v>
      </c>
      <c r="F1316" s="378" t="s">
        <v>26</v>
      </c>
      <c r="G1316" s="378" t="s">
        <v>26</v>
      </c>
      <c r="H1316" s="379" t="s">
        <v>130</v>
      </c>
    </row>
    <row r="1317" spans="1:8" ht="18.75" customHeight="1">
      <c r="A1317" s="376">
        <v>2</v>
      </c>
      <c r="B1317" s="579" t="s">
        <v>136</v>
      </c>
      <c r="C1317" s="579"/>
      <c r="D1317" s="579"/>
      <c r="E1317" s="579"/>
      <c r="F1317" s="579"/>
      <c r="G1317" s="579"/>
      <c r="H1317" s="579"/>
    </row>
    <row r="1318" spans="1:8" ht="31.5">
      <c r="A1318" s="376" t="s">
        <v>743</v>
      </c>
      <c r="B1318" s="381" t="s">
        <v>137</v>
      </c>
      <c r="C1318" s="378" t="s">
        <v>239</v>
      </c>
      <c r="D1318" s="378" t="s">
        <v>245</v>
      </c>
      <c r="E1318" s="378" t="s">
        <v>26</v>
      </c>
      <c r="F1318" s="378" t="s">
        <v>26</v>
      </c>
      <c r="G1318" s="383">
        <v>0</v>
      </c>
      <c r="H1318" s="379"/>
    </row>
    <row r="1319" spans="1:8" ht="47.25">
      <c r="A1319" s="376" t="s">
        <v>746</v>
      </c>
      <c r="B1319" s="381" t="s">
        <v>140</v>
      </c>
      <c r="C1319" s="378" t="s">
        <v>26</v>
      </c>
      <c r="D1319" s="378" t="s">
        <v>26</v>
      </c>
      <c r="E1319" s="378" t="s">
        <v>26</v>
      </c>
      <c r="F1319" s="378" t="s">
        <v>26</v>
      </c>
      <c r="G1319" s="378" t="s">
        <v>26</v>
      </c>
      <c r="H1319" s="379" t="s">
        <v>130</v>
      </c>
    </row>
    <row r="1320" spans="1:8" ht="31.5">
      <c r="A1320" s="376" t="s">
        <v>141</v>
      </c>
      <c r="B1320" s="381" t="s">
        <v>142</v>
      </c>
      <c r="C1320" s="378" t="s">
        <v>26</v>
      </c>
      <c r="D1320" s="378" t="s">
        <v>26</v>
      </c>
      <c r="E1320" s="378" t="s">
        <v>26</v>
      </c>
      <c r="F1320" s="378" t="s">
        <v>26</v>
      </c>
      <c r="G1320" s="378" t="s">
        <v>26</v>
      </c>
      <c r="H1320" s="379" t="s">
        <v>130</v>
      </c>
    </row>
    <row r="1321" spans="1:8" ht="18.75" customHeight="1">
      <c r="A1321" s="376">
        <v>3</v>
      </c>
      <c r="B1321" s="579" t="s">
        <v>184</v>
      </c>
      <c r="C1321" s="579"/>
      <c r="D1321" s="579"/>
      <c r="E1321" s="579"/>
      <c r="F1321" s="579"/>
      <c r="G1321" s="579"/>
      <c r="H1321" s="579"/>
    </row>
    <row r="1322" spans="1:8" ht="31.5">
      <c r="A1322" s="376" t="s">
        <v>756</v>
      </c>
      <c r="B1322" s="382" t="s">
        <v>144</v>
      </c>
      <c r="C1322" s="378" t="s">
        <v>26</v>
      </c>
      <c r="D1322" s="378" t="s">
        <v>26</v>
      </c>
      <c r="E1322" s="378" t="s">
        <v>26</v>
      </c>
      <c r="F1322" s="378" t="s">
        <v>26</v>
      </c>
      <c r="G1322" s="378" t="s">
        <v>26</v>
      </c>
      <c r="H1322" s="379" t="s">
        <v>130</v>
      </c>
    </row>
    <row r="1323" spans="1:8" ht="15.75">
      <c r="A1323" s="376" t="s">
        <v>757</v>
      </c>
      <c r="B1323" s="382" t="s">
        <v>145</v>
      </c>
      <c r="C1323" s="378" t="s">
        <v>239</v>
      </c>
      <c r="D1323" s="378" t="s">
        <v>235</v>
      </c>
      <c r="E1323" s="378" t="s">
        <v>26</v>
      </c>
      <c r="F1323" s="378" t="s">
        <v>26</v>
      </c>
      <c r="G1323" s="383">
        <v>0</v>
      </c>
      <c r="H1323" s="379"/>
    </row>
    <row r="1324" spans="1:8" ht="15.75">
      <c r="A1324" s="376" t="s">
        <v>147</v>
      </c>
      <c r="B1324" s="382" t="s">
        <v>148</v>
      </c>
      <c r="C1324" s="378" t="s">
        <v>246</v>
      </c>
      <c r="D1324" s="378" t="s">
        <v>247</v>
      </c>
      <c r="E1324" s="378" t="s">
        <v>26</v>
      </c>
      <c r="F1324" s="378" t="s">
        <v>26</v>
      </c>
      <c r="G1324" s="383">
        <v>0</v>
      </c>
      <c r="H1324" s="379"/>
    </row>
    <row r="1325" spans="1:8" ht="15.75">
      <c r="A1325" s="376" t="s">
        <v>151</v>
      </c>
      <c r="B1325" s="382" t="s">
        <v>152</v>
      </c>
      <c r="C1325" s="378" t="s">
        <v>248</v>
      </c>
      <c r="D1325" s="378" t="s">
        <v>249</v>
      </c>
      <c r="E1325" s="378" t="s">
        <v>26</v>
      </c>
      <c r="F1325" s="378" t="s">
        <v>26</v>
      </c>
      <c r="G1325" s="383">
        <v>0</v>
      </c>
      <c r="H1325" s="379"/>
    </row>
    <row r="1326" spans="1:8" ht="15.75">
      <c r="A1326" s="376" t="s">
        <v>155</v>
      </c>
      <c r="B1326" s="382" t="s">
        <v>156</v>
      </c>
      <c r="C1326" s="378" t="s">
        <v>250</v>
      </c>
      <c r="D1326" s="378" t="s">
        <v>251</v>
      </c>
      <c r="E1326" s="378" t="s">
        <v>26</v>
      </c>
      <c r="F1326" s="378" t="s">
        <v>26</v>
      </c>
      <c r="G1326" s="383">
        <v>0</v>
      </c>
      <c r="H1326" s="379"/>
    </row>
    <row r="1327" spans="1:8" ht="18.75" customHeight="1">
      <c r="A1327" s="376">
        <v>4</v>
      </c>
      <c r="B1327" s="579" t="s">
        <v>159</v>
      </c>
      <c r="C1327" s="579"/>
      <c r="D1327" s="579"/>
      <c r="E1327" s="579"/>
      <c r="F1327" s="579"/>
      <c r="G1327" s="579"/>
      <c r="H1327" s="579"/>
    </row>
    <row r="1328" spans="1:8" ht="31.5">
      <c r="A1328" s="376" t="s">
        <v>160</v>
      </c>
      <c r="B1328" s="381" t="s">
        <v>161</v>
      </c>
      <c r="C1328" s="378" t="s">
        <v>26</v>
      </c>
      <c r="D1328" s="378" t="s">
        <v>26</v>
      </c>
      <c r="E1328" s="378" t="s">
        <v>26</v>
      </c>
      <c r="F1328" s="378" t="s">
        <v>26</v>
      </c>
      <c r="G1328" s="378" t="s">
        <v>26</v>
      </c>
      <c r="H1328" s="379" t="s">
        <v>130</v>
      </c>
    </row>
    <row r="1329" spans="1:8" ht="47.25">
      <c r="A1329" s="376" t="s">
        <v>162</v>
      </c>
      <c r="B1329" s="381" t="s">
        <v>163</v>
      </c>
      <c r="C1329" s="378" t="s">
        <v>26</v>
      </c>
      <c r="D1329" s="378" t="s">
        <v>26</v>
      </c>
      <c r="E1329" s="378" t="s">
        <v>26</v>
      </c>
      <c r="F1329" s="378" t="s">
        <v>26</v>
      </c>
      <c r="G1329" s="378" t="s">
        <v>26</v>
      </c>
      <c r="H1329" s="379" t="s">
        <v>130</v>
      </c>
    </row>
    <row r="1330" spans="1:8" ht="31.5">
      <c r="A1330" s="376" t="s">
        <v>164</v>
      </c>
      <c r="B1330" s="382" t="s">
        <v>165</v>
      </c>
      <c r="C1330" s="378" t="s">
        <v>26</v>
      </c>
      <c r="D1330" s="378" t="s">
        <v>26</v>
      </c>
      <c r="E1330" s="378" t="s">
        <v>26</v>
      </c>
      <c r="F1330" s="378" t="s">
        <v>26</v>
      </c>
      <c r="G1330" s="378" t="s">
        <v>26</v>
      </c>
      <c r="H1330" s="379" t="s">
        <v>130</v>
      </c>
    </row>
    <row r="1331" spans="1:8" ht="31.5">
      <c r="A1331" s="384" t="s">
        <v>166</v>
      </c>
      <c r="B1331" s="385" t="s">
        <v>167</v>
      </c>
      <c r="C1331" s="386" t="s">
        <v>26</v>
      </c>
      <c r="D1331" s="386" t="s">
        <v>26</v>
      </c>
      <c r="E1331" s="386" t="s">
        <v>26</v>
      </c>
      <c r="F1331" s="386" t="s">
        <v>26</v>
      </c>
      <c r="G1331" s="386" t="s">
        <v>26</v>
      </c>
      <c r="H1331" s="387" t="s">
        <v>130</v>
      </c>
    </row>
    <row r="1332" spans="1:8" ht="15.75">
      <c r="A1332" s="388"/>
      <c r="B1332" s="389"/>
      <c r="C1332" s="390"/>
      <c r="D1332" s="390"/>
      <c r="E1332" s="390"/>
      <c r="F1332" s="390"/>
      <c r="G1332" s="390"/>
      <c r="H1332" s="98"/>
    </row>
    <row r="1333" spans="1:8" ht="18.75" customHeight="1">
      <c r="A1333" s="580" t="s">
        <v>168</v>
      </c>
      <c r="B1333" s="580"/>
      <c r="C1333" s="580"/>
      <c r="D1333" s="580"/>
      <c r="E1333" s="580"/>
      <c r="F1333" s="580"/>
      <c r="G1333" s="580"/>
      <c r="H1333" s="580"/>
    </row>
    <row r="1334" spans="1:8" ht="15.75">
      <c r="A1334" s="391"/>
      <c r="B1334" s="391"/>
      <c r="C1334" s="391"/>
      <c r="D1334" s="391"/>
      <c r="E1334" s="391"/>
      <c r="F1334" s="391"/>
      <c r="G1334" s="391"/>
      <c r="H1334" s="391"/>
    </row>
    <row r="1336" ht="15.75">
      <c r="H1336" s="6" t="s">
        <v>113</v>
      </c>
    </row>
    <row r="1337" ht="15.75">
      <c r="H1337" s="6" t="s">
        <v>114</v>
      </c>
    </row>
    <row r="1338" ht="15.75">
      <c r="H1338" s="6" t="s">
        <v>115</v>
      </c>
    </row>
    <row r="1339" ht="15.75">
      <c r="H1339" s="6"/>
    </row>
    <row r="1340" spans="1:8" ht="18.75" customHeight="1">
      <c r="A1340" s="622" t="s">
        <v>116</v>
      </c>
      <c r="B1340" s="622"/>
      <c r="C1340" s="622"/>
      <c r="D1340" s="622"/>
      <c r="E1340" s="622"/>
      <c r="F1340" s="622"/>
      <c r="G1340" s="622"/>
      <c r="H1340" s="622"/>
    </row>
    <row r="1341" spans="1:8" ht="18.75" customHeight="1">
      <c r="A1341" s="622" t="s">
        <v>117</v>
      </c>
      <c r="B1341" s="622"/>
      <c r="C1341" s="622"/>
      <c r="D1341" s="622"/>
      <c r="E1341" s="622"/>
      <c r="F1341" s="622"/>
      <c r="G1341" s="622"/>
      <c r="H1341" s="622"/>
    </row>
    <row r="1342" ht="15.75">
      <c r="H1342" s="6" t="s">
        <v>562</v>
      </c>
    </row>
    <row r="1343" ht="15.75">
      <c r="H1343" s="6" t="s">
        <v>769</v>
      </c>
    </row>
    <row r="1344" ht="15.75">
      <c r="H1344" s="6" t="s">
        <v>770</v>
      </c>
    </row>
    <row r="1345" ht="15.75">
      <c r="H1345" s="361" t="str">
        <f>H11</f>
        <v>                         Добровольский К.А.</v>
      </c>
    </row>
    <row r="1346" ht="15.75">
      <c r="H1346" s="6" t="s">
        <v>772</v>
      </c>
    </row>
    <row r="1347" ht="15.75">
      <c r="H1347" s="6" t="s">
        <v>567</v>
      </c>
    </row>
    <row r="1348" ht="15.75">
      <c r="A1348" s="362"/>
    </row>
    <row r="1349" ht="15.75">
      <c r="A1349" s="3" t="s">
        <v>252</v>
      </c>
    </row>
    <row r="1350" spans="1:8" ht="18.75" customHeight="1">
      <c r="A1350" s="623" t="s">
        <v>120</v>
      </c>
      <c r="B1350" s="623"/>
      <c r="C1350" s="623"/>
      <c r="D1350" s="623"/>
      <c r="E1350" s="623"/>
      <c r="F1350" s="623"/>
      <c r="G1350" s="623"/>
      <c r="H1350" s="623"/>
    </row>
    <row r="1351" spans="1:8" ht="15.75">
      <c r="A1351" s="364"/>
      <c r="B1351" s="364"/>
      <c r="C1351" s="366"/>
      <c r="D1351" s="366"/>
      <c r="E1351" s="366"/>
      <c r="F1351" s="366"/>
      <c r="G1351" s="366"/>
      <c r="H1351" s="366"/>
    </row>
    <row r="1352" spans="1:8" ht="16.5" customHeight="1">
      <c r="A1352" s="581" t="s">
        <v>121</v>
      </c>
      <c r="B1352" s="559" t="s">
        <v>122</v>
      </c>
      <c r="C1352" s="560" t="s">
        <v>123</v>
      </c>
      <c r="D1352" s="560"/>
      <c r="E1352" s="560"/>
      <c r="F1352" s="560"/>
      <c r="G1352" s="561" t="s">
        <v>124</v>
      </c>
      <c r="H1352" s="581" t="s">
        <v>125</v>
      </c>
    </row>
    <row r="1353" spans="1:8" ht="15.75">
      <c r="A1353" s="581"/>
      <c r="B1353" s="559"/>
      <c r="C1353" s="560"/>
      <c r="D1353" s="560"/>
      <c r="E1353" s="560"/>
      <c r="F1353" s="560"/>
      <c r="G1353" s="561"/>
      <c r="H1353" s="581"/>
    </row>
    <row r="1354" spans="1:8" ht="31.5">
      <c r="A1354" s="581"/>
      <c r="B1354" s="559"/>
      <c r="C1354" s="369" t="s">
        <v>126</v>
      </c>
      <c r="D1354" s="369" t="s">
        <v>127</v>
      </c>
      <c r="E1354" s="370" t="s">
        <v>126</v>
      </c>
      <c r="F1354" s="371" t="s">
        <v>127</v>
      </c>
      <c r="G1354" s="561"/>
      <c r="H1354" s="581"/>
    </row>
    <row r="1355" spans="1:8" ht="15.75">
      <c r="A1355" s="367">
        <v>1</v>
      </c>
      <c r="B1355" s="367">
        <v>2</v>
      </c>
      <c r="C1355" s="372">
        <v>3</v>
      </c>
      <c r="D1355" s="372">
        <v>4</v>
      </c>
      <c r="E1355" s="373"/>
      <c r="F1355" s="374"/>
      <c r="G1355" s="368">
        <v>5</v>
      </c>
      <c r="H1355" s="367">
        <v>6</v>
      </c>
    </row>
    <row r="1356" spans="1:8" ht="18.75" customHeight="1">
      <c r="A1356" s="375">
        <v>1</v>
      </c>
      <c r="B1356" s="582" t="s">
        <v>128</v>
      </c>
      <c r="C1356" s="582"/>
      <c r="D1356" s="582"/>
      <c r="E1356" s="582"/>
      <c r="F1356" s="582"/>
      <c r="G1356" s="582"/>
      <c r="H1356" s="582"/>
    </row>
    <row r="1357" spans="1:8" ht="15.75">
      <c r="A1357" s="376" t="s">
        <v>594</v>
      </c>
      <c r="B1357" s="377" t="s">
        <v>129</v>
      </c>
      <c r="C1357" s="378" t="s">
        <v>26</v>
      </c>
      <c r="D1357" s="378" t="s">
        <v>26</v>
      </c>
      <c r="E1357" s="378" t="s">
        <v>26</v>
      </c>
      <c r="F1357" s="378" t="s">
        <v>26</v>
      </c>
      <c r="G1357" s="378" t="s">
        <v>26</v>
      </c>
      <c r="H1357" s="379" t="s">
        <v>130</v>
      </c>
    </row>
    <row r="1358" spans="1:8" ht="15.75">
      <c r="A1358" s="376" t="s">
        <v>735</v>
      </c>
      <c r="B1358" s="377" t="s">
        <v>131</v>
      </c>
      <c r="C1358" s="378" t="s">
        <v>26</v>
      </c>
      <c r="D1358" s="378" t="s">
        <v>26</v>
      </c>
      <c r="E1358" s="378" t="s">
        <v>26</v>
      </c>
      <c r="F1358" s="378" t="s">
        <v>26</v>
      </c>
      <c r="G1358" s="378" t="s">
        <v>26</v>
      </c>
      <c r="H1358" s="379" t="s">
        <v>130</v>
      </c>
    </row>
    <row r="1359" spans="1:8" ht="31.5">
      <c r="A1359" s="376" t="s">
        <v>737</v>
      </c>
      <c r="B1359" s="381" t="s">
        <v>132</v>
      </c>
      <c r="C1359" s="566" t="s">
        <v>88</v>
      </c>
      <c r="D1359" s="566" t="s">
        <v>97</v>
      </c>
      <c r="E1359" s="378" t="s">
        <v>26</v>
      </c>
      <c r="F1359" s="378" t="s">
        <v>26</v>
      </c>
      <c r="G1359" s="378" t="s">
        <v>26</v>
      </c>
      <c r="H1359" s="379" t="s">
        <v>130</v>
      </c>
    </row>
    <row r="1360" spans="1:8" ht="47.25">
      <c r="A1360" s="376" t="s">
        <v>739</v>
      </c>
      <c r="B1360" s="381" t="s">
        <v>133</v>
      </c>
      <c r="C1360" s="566" t="s">
        <v>91</v>
      </c>
      <c r="D1360" s="566" t="s">
        <v>98</v>
      </c>
      <c r="E1360" s="378" t="s">
        <v>26</v>
      </c>
      <c r="F1360" s="378" t="s">
        <v>26</v>
      </c>
      <c r="G1360" s="378" t="s">
        <v>26</v>
      </c>
      <c r="H1360" s="379" t="s">
        <v>130</v>
      </c>
    </row>
    <row r="1361" spans="1:8" ht="15.75">
      <c r="A1361" s="376" t="s">
        <v>852</v>
      </c>
      <c r="B1361" s="382" t="s">
        <v>134</v>
      </c>
      <c r="C1361" s="566" t="s">
        <v>99</v>
      </c>
      <c r="D1361" s="566" t="s">
        <v>100</v>
      </c>
      <c r="E1361" s="378" t="s">
        <v>26</v>
      </c>
      <c r="F1361" s="378" t="s">
        <v>26</v>
      </c>
      <c r="G1361" s="378" t="s">
        <v>26</v>
      </c>
      <c r="H1361" s="379" t="s">
        <v>130</v>
      </c>
    </row>
    <row r="1362" spans="1:8" ht="15.75">
      <c r="A1362" s="376" t="s">
        <v>853</v>
      </c>
      <c r="B1362" s="382" t="s">
        <v>135</v>
      </c>
      <c r="C1362" s="566" t="s">
        <v>88</v>
      </c>
      <c r="D1362" s="566" t="s">
        <v>236</v>
      </c>
      <c r="E1362" s="378" t="s">
        <v>26</v>
      </c>
      <c r="F1362" s="378" t="s">
        <v>26</v>
      </c>
      <c r="G1362" s="378" t="s">
        <v>26</v>
      </c>
      <c r="H1362" s="379" t="s">
        <v>130</v>
      </c>
    </row>
    <row r="1363" spans="1:8" ht="18.75" customHeight="1">
      <c r="A1363" s="376">
        <v>2</v>
      </c>
      <c r="B1363" s="579" t="s">
        <v>136</v>
      </c>
      <c r="C1363" s="579"/>
      <c r="D1363" s="579"/>
      <c r="E1363" s="579"/>
      <c r="F1363" s="579"/>
      <c r="G1363" s="579"/>
      <c r="H1363" s="579"/>
    </row>
    <row r="1364" spans="1:8" ht="31.5">
      <c r="A1364" s="376" t="s">
        <v>743</v>
      </c>
      <c r="B1364" s="381" t="s">
        <v>137</v>
      </c>
      <c r="C1364" s="378" t="s">
        <v>239</v>
      </c>
      <c r="D1364" s="378" t="s">
        <v>245</v>
      </c>
      <c r="E1364" s="378" t="s">
        <v>26</v>
      </c>
      <c r="F1364" s="378" t="s">
        <v>26</v>
      </c>
      <c r="G1364" s="383">
        <v>0</v>
      </c>
      <c r="H1364" s="379"/>
    </row>
    <row r="1365" spans="1:8" ht="47.25">
      <c r="A1365" s="376" t="s">
        <v>746</v>
      </c>
      <c r="B1365" s="381" t="s">
        <v>140</v>
      </c>
      <c r="C1365" s="378" t="s">
        <v>26</v>
      </c>
      <c r="D1365" s="378" t="s">
        <v>26</v>
      </c>
      <c r="E1365" s="378" t="s">
        <v>26</v>
      </c>
      <c r="F1365" s="378" t="s">
        <v>26</v>
      </c>
      <c r="G1365" s="378" t="s">
        <v>26</v>
      </c>
      <c r="H1365" s="379" t="s">
        <v>130</v>
      </c>
    </row>
    <row r="1366" spans="1:8" ht="31.5">
      <c r="A1366" s="376" t="s">
        <v>141</v>
      </c>
      <c r="B1366" s="381" t="s">
        <v>142</v>
      </c>
      <c r="C1366" s="378" t="s">
        <v>26</v>
      </c>
      <c r="D1366" s="378" t="s">
        <v>26</v>
      </c>
      <c r="E1366" s="378" t="s">
        <v>26</v>
      </c>
      <c r="F1366" s="378" t="s">
        <v>26</v>
      </c>
      <c r="G1366" s="378" t="s">
        <v>26</v>
      </c>
      <c r="H1366" s="379" t="s">
        <v>130</v>
      </c>
    </row>
    <row r="1367" spans="1:8" ht="18.75" customHeight="1">
      <c r="A1367" s="376">
        <v>3</v>
      </c>
      <c r="B1367" s="579" t="s">
        <v>184</v>
      </c>
      <c r="C1367" s="579"/>
      <c r="D1367" s="579"/>
      <c r="E1367" s="579"/>
      <c r="F1367" s="579"/>
      <c r="G1367" s="579"/>
      <c r="H1367" s="579"/>
    </row>
    <row r="1368" spans="1:8" ht="31.5">
      <c r="A1368" s="376" t="s">
        <v>756</v>
      </c>
      <c r="B1368" s="382" t="s">
        <v>144</v>
      </c>
      <c r="C1368" s="378" t="s">
        <v>26</v>
      </c>
      <c r="D1368" s="378" t="s">
        <v>26</v>
      </c>
      <c r="E1368" s="378" t="s">
        <v>26</v>
      </c>
      <c r="F1368" s="378" t="s">
        <v>26</v>
      </c>
      <c r="G1368" s="378" t="s">
        <v>26</v>
      </c>
      <c r="H1368" s="379" t="s">
        <v>130</v>
      </c>
    </row>
    <row r="1369" spans="1:8" ht="15.75">
      <c r="A1369" s="376" t="s">
        <v>757</v>
      </c>
      <c r="B1369" s="382" t="s">
        <v>145</v>
      </c>
      <c r="C1369" s="378" t="s">
        <v>239</v>
      </c>
      <c r="D1369" s="378" t="s">
        <v>235</v>
      </c>
      <c r="E1369" s="378" t="s">
        <v>26</v>
      </c>
      <c r="F1369" s="378" t="s">
        <v>26</v>
      </c>
      <c r="G1369" s="383">
        <v>0</v>
      </c>
      <c r="H1369" s="379"/>
    </row>
    <row r="1370" spans="1:8" ht="15.75">
      <c r="A1370" s="376" t="s">
        <v>147</v>
      </c>
      <c r="B1370" s="382" t="s">
        <v>148</v>
      </c>
      <c r="C1370" s="378" t="s">
        <v>246</v>
      </c>
      <c r="D1370" s="378" t="s">
        <v>247</v>
      </c>
      <c r="E1370" s="378" t="s">
        <v>26</v>
      </c>
      <c r="F1370" s="378" t="s">
        <v>26</v>
      </c>
      <c r="G1370" s="383">
        <v>0</v>
      </c>
      <c r="H1370" s="379"/>
    </row>
    <row r="1371" spans="1:8" ht="15.75">
      <c r="A1371" s="376" t="s">
        <v>151</v>
      </c>
      <c r="B1371" s="382" t="s">
        <v>152</v>
      </c>
      <c r="C1371" s="378" t="s">
        <v>248</v>
      </c>
      <c r="D1371" s="378" t="s">
        <v>249</v>
      </c>
      <c r="E1371" s="378" t="s">
        <v>26</v>
      </c>
      <c r="F1371" s="378" t="s">
        <v>26</v>
      </c>
      <c r="G1371" s="383">
        <v>0</v>
      </c>
      <c r="H1371" s="379"/>
    </row>
    <row r="1372" spans="1:8" ht="15.75">
      <c r="A1372" s="376" t="s">
        <v>155</v>
      </c>
      <c r="B1372" s="382" t="s">
        <v>156</v>
      </c>
      <c r="C1372" s="378" t="s">
        <v>250</v>
      </c>
      <c r="D1372" s="378" t="s">
        <v>251</v>
      </c>
      <c r="E1372" s="378" t="s">
        <v>26</v>
      </c>
      <c r="F1372" s="378" t="s">
        <v>26</v>
      </c>
      <c r="G1372" s="383">
        <v>0</v>
      </c>
      <c r="H1372" s="379"/>
    </row>
    <row r="1373" spans="1:8" ht="18.75" customHeight="1">
      <c r="A1373" s="376">
        <v>4</v>
      </c>
      <c r="B1373" s="579" t="s">
        <v>159</v>
      </c>
      <c r="C1373" s="579"/>
      <c r="D1373" s="579"/>
      <c r="E1373" s="579"/>
      <c r="F1373" s="579"/>
      <c r="G1373" s="579"/>
      <c r="H1373" s="579"/>
    </row>
    <row r="1374" spans="1:8" ht="31.5">
      <c r="A1374" s="376" t="s">
        <v>160</v>
      </c>
      <c r="B1374" s="381" t="s">
        <v>161</v>
      </c>
      <c r="C1374" s="378" t="s">
        <v>26</v>
      </c>
      <c r="D1374" s="378" t="s">
        <v>26</v>
      </c>
      <c r="E1374" s="378" t="s">
        <v>26</v>
      </c>
      <c r="F1374" s="378" t="s">
        <v>26</v>
      </c>
      <c r="G1374" s="378" t="s">
        <v>26</v>
      </c>
      <c r="H1374" s="379" t="s">
        <v>130</v>
      </c>
    </row>
    <row r="1375" spans="1:8" ht="47.25">
      <c r="A1375" s="376" t="s">
        <v>162</v>
      </c>
      <c r="B1375" s="381" t="s">
        <v>163</v>
      </c>
      <c r="C1375" s="378" t="s">
        <v>26</v>
      </c>
      <c r="D1375" s="378" t="s">
        <v>26</v>
      </c>
      <c r="E1375" s="378" t="s">
        <v>26</v>
      </c>
      <c r="F1375" s="378" t="s">
        <v>26</v>
      </c>
      <c r="G1375" s="378" t="s">
        <v>26</v>
      </c>
      <c r="H1375" s="379" t="s">
        <v>130</v>
      </c>
    </row>
    <row r="1376" spans="1:8" ht="31.5">
      <c r="A1376" s="376" t="s">
        <v>164</v>
      </c>
      <c r="B1376" s="382" t="s">
        <v>165</v>
      </c>
      <c r="C1376" s="378" t="s">
        <v>26</v>
      </c>
      <c r="D1376" s="378" t="s">
        <v>26</v>
      </c>
      <c r="E1376" s="378" t="s">
        <v>26</v>
      </c>
      <c r="F1376" s="378" t="s">
        <v>26</v>
      </c>
      <c r="G1376" s="378" t="s">
        <v>26</v>
      </c>
      <c r="H1376" s="379" t="s">
        <v>130</v>
      </c>
    </row>
    <row r="1377" spans="1:8" ht="31.5">
      <c r="A1377" s="384" t="s">
        <v>166</v>
      </c>
      <c r="B1377" s="385" t="s">
        <v>167</v>
      </c>
      <c r="C1377" s="386" t="s">
        <v>26</v>
      </c>
      <c r="D1377" s="386" t="s">
        <v>26</v>
      </c>
      <c r="E1377" s="386" t="s">
        <v>26</v>
      </c>
      <c r="F1377" s="386" t="s">
        <v>26</v>
      </c>
      <c r="G1377" s="386" t="s">
        <v>26</v>
      </c>
      <c r="H1377" s="387" t="s">
        <v>130</v>
      </c>
    </row>
    <row r="1378" spans="1:8" ht="15.75">
      <c r="A1378" s="388"/>
      <c r="B1378" s="389"/>
      <c r="C1378" s="390"/>
      <c r="D1378" s="390"/>
      <c r="E1378" s="390"/>
      <c r="F1378" s="390"/>
      <c r="G1378" s="390"/>
      <c r="H1378" s="98"/>
    </row>
    <row r="1379" spans="1:8" ht="18.75" customHeight="1">
      <c r="A1379" s="580" t="s">
        <v>168</v>
      </c>
      <c r="B1379" s="580"/>
      <c r="C1379" s="580"/>
      <c r="D1379" s="580"/>
      <c r="E1379" s="580"/>
      <c r="F1379" s="580"/>
      <c r="G1379" s="580"/>
      <c r="H1379" s="580"/>
    </row>
    <row r="1380" spans="1:8" ht="15.75">
      <c r="A1380" s="391"/>
      <c r="B1380" s="391"/>
      <c r="C1380" s="391"/>
      <c r="D1380" s="391"/>
      <c r="E1380" s="391"/>
      <c r="F1380" s="391"/>
      <c r="G1380" s="391"/>
      <c r="H1380" s="391"/>
    </row>
    <row r="1382" ht="15.75">
      <c r="H1382" s="6" t="s">
        <v>113</v>
      </c>
    </row>
    <row r="1383" ht="15.75">
      <c r="H1383" s="6" t="s">
        <v>114</v>
      </c>
    </row>
    <row r="1384" ht="15.75">
      <c r="H1384" s="6" t="s">
        <v>115</v>
      </c>
    </row>
    <row r="1385" ht="15.75">
      <c r="H1385" s="6"/>
    </row>
    <row r="1386" spans="1:8" ht="18.75" customHeight="1">
      <c r="A1386" s="622" t="s">
        <v>116</v>
      </c>
      <c r="B1386" s="622"/>
      <c r="C1386" s="622"/>
      <c r="D1386" s="622"/>
      <c r="E1386" s="622"/>
      <c r="F1386" s="622"/>
      <c r="G1386" s="622"/>
      <c r="H1386" s="622"/>
    </row>
    <row r="1387" spans="1:8" ht="18.75" customHeight="1">
      <c r="A1387" s="622" t="s">
        <v>117</v>
      </c>
      <c r="B1387" s="622"/>
      <c r="C1387" s="622"/>
      <c r="D1387" s="622"/>
      <c r="E1387" s="622"/>
      <c r="F1387" s="622"/>
      <c r="G1387" s="622"/>
      <c r="H1387" s="622"/>
    </row>
    <row r="1388" ht="15.75">
      <c r="H1388" s="6" t="s">
        <v>562</v>
      </c>
    </row>
    <row r="1389" ht="15.75">
      <c r="H1389" s="6" t="s">
        <v>769</v>
      </c>
    </row>
    <row r="1390" ht="15.75">
      <c r="H1390" s="6" t="s">
        <v>770</v>
      </c>
    </row>
    <row r="1391" ht="15.75">
      <c r="H1391" s="361" t="str">
        <f>H11</f>
        <v>                         Добровольский К.А.</v>
      </c>
    </row>
    <row r="1392" ht="15.75">
      <c r="H1392" s="6" t="s">
        <v>772</v>
      </c>
    </row>
    <row r="1393" ht="15.75">
      <c r="H1393" s="6" t="s">
        <v>567</v>
      </c>
    </row>
    <row r="1394" ht="15.75">
      <c r="A1394" s="362"/>
    </row>
    <row r="1395" ht="15.75">
      <c r="A1395" s="3" t="s">
        <v>253</v>
      </c>
    </row>
    <row r="1396" spans="1:8" ht="18.75" customHeight="1">
      <c r="A1396" s="623" t="s">
        <v>120</v>
      </c>
      <c r="B1396" s="623"/>
      <c r="C1396" s="623"/>
      <c r="D1396" s="623"/>
      <c r="E1396" s="623"/>
      <c r="F1396" s="623"/>
      <c r="G1396" s="623"/>
      <c r="H1396" s="623"/>
    </row>
    <row r="1397" spans="1:8" ht="15.75">
      <c r="A1397" s="364"/>
      <c r="B1397" s="364"/>
      <c r="C1397" s="366"/>
      <c r="D1397" s="366"/>
      <c r="E1397" s="366"/>
      <c r="F1397" s="366"/>
      <c r="G1397" s="366"/>
      <c r="H1397" s="366"/>
    </row>
    <row r="1398" spans="1:8" ht="16.5" customHeight="1">
      <c r="A1398" s="581" t="s">
        <v>121</v>
      </c>
      <c r="B1398" s="559" t="s">
        <v>122</v>
      </c>
      <c r="C1398" s="560" t="s">
        <v>123</v>
      </c>
      <c r="D1398" s="560"/>
      <c r="E1398" s="560"/>
      <c r="F1398" s="560"/>
      <c r="G1398" s="561" t="s">
        <v>124</v>
      </c>
      <c r="H1398" s="581" t="s">
        <v>125</v>
      </c>
    </row>
    <row r="1399" spans="1:8" ht="15.75">
      <c r="A1399" s="581"/>
      <c r="B1399" s="559"/>
      <c r="C1399" s="560"/>
      <c r="D1399" s="560"/>
      <c r="E1399" s="560"/>
      <c r="F1399" s="560"/>
      <c r="G1399" s="561"/>
      <c r="H1399" s="581"/>
    </row>
    <row r="1400" spans="1:8" ht="31.5">
      <c r="A1400" s="581"/>
      <c r="B1400" s="559"/>
      <c r="C1400" s="369" t="s">
        <v>126</v>
      </c>
      <c r="D1400" s="369" t="s">
        <v>127</v>
      </c>
      <c r="E1400" s="370" t="s">
        <v>126</v>
      </c>
      <c r="F1400" s="371" t="s">
        <v>127</v>
      </c>
      <c r="G1400" s="561"/>
      <c r="H1400" s="581"/>
    </row>
    <row r="1401" spans="1:8" ht="15.75">
      <c r="A1401" s="367">
        <v>1</v>
      </c>
      <c r="B1401" s="367">
        <v>2</v>
      </c>
      <c r="C1401" s="372">
        <v>3</v>
      </c>
      <c r="D1401" s="372">
        <v>4</v>
      </c>
      <c r="E1401" s="373"/>
      <c r="F1401" s="374"/>
      <c r="G1401" s="368">
        <v>5</v>
      </c>
      <c r="H1401" s="367">
        <v>6</v>
      </c>
    </row>
    <row r="1402" spans="1:8" ht="18.75" customHeight="1">
      <c r="A1402" s="375">
        <v>1</v>
      </c>
      <c r="B1402" s="582" t="s">
        <v>128</v>
      </c>
      <c r="C1402" s="582"/>
      <c r="D1402" s="582"/>
      <c r="E1402" s="582"/>
      <c r="F1402" s="582"/>
      <c r="G1402" s="582"/>
      <c r="H1402" s="582"/>
    </row>
    <row r="1403" spans="1:8" ht="15.75">
      <c r="A1403" s="376" t="s">
        <v>594</v>
      </c>
      <c r="B1403" s="377" t="s">
        <v>129</v>
      </c>
      <c r="C1403" s="378" t="s">
        <v>26</v>
      </c>
      <c r="D1403" s="378" t="s">
        <v>26</v>
      </c>
      <c r="E1403" s="378" t="s">
        <v>26</v>
      </c>
      <c r="F1403" s="378" t="s">
        <v>26</v>
      </c>
      <c r="G1403" s="378" t="s">
        <v>26</v>
      </c>
      <c r="H1403" s="379" t="s">
        <v>130</v>
      </c>
    </row>
    <row r="1404" spans="1:8" ht="15.75">
      <c r="A1404" s="376" t="s">
        <v>735</v>
      </c>
      <c r="B1404" s="377" t="s">
        <v>131</v>
      </c>
      <c r="C1404" s="378" t="s">
        <v>26</v>
      </c>
      <c r="D1404" s="378" t="s">
        <v>26</v>
      </c>
      <c r="E1404" s="378" t="s">
        <v>26</v>
      </c>
      <c r="F1404" s="378" t="s">
        <v>26</v>
      </c>
      <c r="G1404" s="378" t="s">
        <v>26</v>
      </c>
      <c r="H1404" s="379" t="s">
        <v>130</v>
      </c>
    </row>
    <row r="1405" spans="1:8" ht="31.5">
      <c r="A1405" s="376" t="s">
        <v>737</v>
      </c>
      <c r="B1405" s="381" t="s">
        <v>132</v>
      </c>
      <c r="C1405" s="566" t="s">
        <v>88</v>
      </c>
      <c r="D1405" s="566" t="s">
        <v>89</v>
      </c>
      <c r="E1405" s="378" t="s">
        <v>26</v>
      </c>
      <c r="F1405" s="378" t="s">
        <v>26</v>
      </c>
      <c r="G1405" s="378" t="s">
        <v>26</v>
      </c>
      <c r="H1405" s="379" t="s">
        <v>130</v>
      </c>
    </row>
    <row r="1406" spans="1:8" ht="47.25">
      <c r="A1406" s="376" t="s">
        <v>739</v>
      </c>
      <c r="B1406" s="381" t="s">
        <v>133</v>
      </c>
      <c r="C1406" s="566" t="s">
        <v>90</v>
      </c>
      <c r="D1406" s="566" t="s">
        <v>91</v>
      </c>
      <c r="E1406" s="378" t="s">
        <v>26</v>
      </c>
      <c r="F1406" s="378" t="s">
        <v>26</v>
      </c>
      <c r="G1406" s="378" t="s">
        <v>26</v>
      </c>
      <c r="H1406" s="379" t="s">
        <v>130</v>
      </c>
    </row>
    <row r="1407" spans="1:8" ht="15.75">
      <c r="A1407" s="376" t="s">
        <v>852</v>
      </c>
      <c r="B1407" s="382" t="s">
        <v>134</v>
      </c>
      <c r="C1407" s="566" t="s">
        <v>92</v>
      </c>
      <c r="D1407" s="566" t="s">
        <v>93</v>
      </c>
      <c r="E1407" s="378" t="s">
        <v>26</v>
      </c>
      <c r="F1407" s="378" t="s">
        <v>26</v>
      </c>
      <c r="G1407" s="378" t="s">
        <v>26</v>
      </c>
      <c r="H1407" s="379" t="s">
        <v>130</v>
      </c>
    </row>
    <row r="1408" spans="1:8" ht="15.75">
      <c r="A1408" s="376" t="s">
        <v>853</v>
      </c>
      <c r="B1408" s="382" t="s">
        <v>135</v>
      </c>
      <c r="C1408" s="566" t="s">
        <v>88</v>
      </c>
      <c r="D1408" s="566" t="s">
        <v>234</v>
      </c>
      <c r="E1408" s="378" t="s">
        <v>26</v>
      </c>
      <c r="F1408" s="378" t="s">
        <v>26</v>
      </c>
      <c r="G1408" s="378" t="s">
        <v>26</v>
      </c>
      <c r="H1408" s="379" t="s">
        <v>130</v>
      </c>
    </row>
    <row r="1409" spans="1:8" ht="18.75" customHeight="1">
      <c r="A1409" s="376">
        <v>2</v>
      </c>
      <c r="B1409" s="579" t="s">
        <v>136</v>
      </c>
      <c r="C1409" s="579"/>
      <c r="D1409" s="579"/>
      <c r="E1409" s="579"/>
      <c r="F1409" s="579"/>
      <c r="G1409" s="579"/>
      <c r="H1409" s="579"/>
    </row>
    <row r="1410" spans="1:8" ht="31.5">
      <c r="A1410" s="376" t="s">
        <v>743</v>
      </c>
      <c r="B1410" s="381" t="s">
        <v>137</v>
      </c>
      <c r="C1410" s="378" t="s">
        <v>239</v>
      </c>
      <c r="D1410" s="378" t="s">
        <v>245</v>
      </c>
      <c r="E1410" s="378" t="s">
        <v>26</v>
      </c>
      <c r="F1410" s="378" t="s">
        <v>26</v>
      </c>
      <c r="G1410" s="383">
        <v>0</v>
      </c>
      <c r="H1410" s="379"/>
    </row>
    <row r="1411" spans="1:8" ht="47.25">
      <c r="A1411" s="376" t="s">
        <v>746</v>
      </c>
      <c r="B1411" s="381" t="s">
        <v>140</v>
      </c>
      <c r="C1411" s="378" t="s">
        <v>26</v>
      </c>
      <c r="D1411" s="378" t="s">
        <v>26</v>
      </c>
      <c r="E1411" s="378" t="s">
        <v>26</v>
      </c>
      <c r="F1411" s="378" t="s">
        <v>26</v>
      </c>
      <c r="G1411" s="378" t="s">
        <v>26</v>
      </c>
      <c r="H1411" s="379" t="s">
        <v>130</v>
      </c>
    </row>
    <row r="1412" spans="1:8" ht="31.5">
      <c r="A1412" s="376" t="s">
        <v>141</v>
      </c>
      <c r="B1412" s="381" t="s">
        <v>142</v>
      </c>
      <c r="C1412" s="378" t="s">
        <v>26</v>
      </c>
      <c r="D1412" s="378" t="s">
        <v>26</v>
      </c>
      <c r="E1412" s="378" t="s">
        <v>26</v>
      </c>
      <c r="F1412" s="378" t="s">
        <v>26</v>
      </c>
      <c r="G1412" s="378" t="s">
        <v>26</v>
      </c>
      <c r="H1412" s="379" t="s">
        <v>130</v>
      </c>
    </row>
    <row r="1413" spans="1:8" ht="18.75" customHeight="1">
      <c r="A1413" s="376">
        <v>3</v>
      </c>
      <c r="B1413" s="579" t="s">
        <v>184</v>
      </c>
      <c r="C1413" s="579"/>
      <c r="D1413" s="579"/>
      <c r="E1413" s="579"/>
      <c r="F1413" s="579"/>
      <c r="G1413" s="579"/>
      <c r="H1413" s="579"/>
    </row>
    <row r="1414" spans="1:8" ht="31.5">
      <c r="A1414" s="376" t="s">
        <v>756</v>
      </c>
      <c r="B1414" s="382" t="s">
        <v>144</v>
      </c>
      <c r="C1414" s="378" t="s">
        <v>26</v>
      </c>
      <c r="D1414" s="378" t="s">
        <v>26</v>
      </c>
      <c r="E1414" s="378" t="s">
        <v>26</v>
      </c>
      <c r="F1414" s="378" t="s">
        <v>26</v>
      </c>
      <c r="G1414" s="378" t="s">
        <v>26</v>
      </c>
      <c r="H1414" s="379" t="s">
        <v>130</v>
      </c>
    </row>
    <row r="1415" spans="1:8" ht="15.75">
      <c r="A1415" s="376" t="s">
        <v>757</v>
      </c>
      <c r="B1415" s="382" t="s">
        <v>145</v>
      </c>
      <c r="C1415" s="378" t="s">
        <v>239</v>
      </c>
      <c r="D1415" s="378" t="s">
        <v>235</v>
      </c>
      <c r="E1415" s="378" t="s">
        <v>26</v>
      </c>
      <c r="F1415" s="378" t="s">
        <v>26</v>
      </c>
      <c r="G1415" s="383">
        <v>0</v>
      </c>
      <c r="H1415" s="379"/>
    </row>
    <row r="1416" spans="1:8" ht="15.75">
      <c r="A1416" s="376" t="s">
        <v>147</v>
      </c>
      <c r="B1416" s="382" t="s">
        <v>148</v>
      </c>
      <c r="C1416" s="378" t="s">
        <v>246</v>
      </c>
      <c r="D1416" s="378" t="s">
        <v>247</v>
      </c>
      <c r="E1416" s="378" t="s">
        <v>26</v>
      </c>
      <c r="F1416" s="378" t="s">
        <v>26</v>
      </c>
      <c r="G1416" s="383">
        <v>0</v>
      </c>
      <c r="H1416" s="379"/>
    </row>
    <row r="1417" spans="1:8" ht="15.75">
      <c r="A1417" s="376" t="s">
        <v>151</v>
      </c>
      <c r="B1417" s="382" t="s">
        <v>152</v>
      </c>
      <c r="C1417" s="378" t="s">
        <v>248</v>
      </c>
      <c r="D1417" s="378" t="s">
        <v>249</v>
      </c>
      <c r="E1417" s="378" t="s">
        <v>26</v>
      </c>
      <c r="F1417" s="378" t="s">
        <v>26</v>
      </c>
      <c r="G1417" s="383">
        <v>0</v>
      </c>
      <c r="H1417" s="379"/>
    </row>
    <row r="1418" spans="1:8" ht="15.75">
      <c r="A1418" s="376" t="s">
        <v>155</v>
      </c>
      <c r="B1418" s="382" t="s">
        <v>156</v>
      </c>
      <c r="C1418" s="378" t="s">
        <v>250</v>
      </c>
      <c r="D1418" s="378" t="s">
        <v>251</v>
      </c>
      <c r="E1418" s="378" t="s">
        <v>26</v>
      </c>
      <c r="F1418" s="378" t="s">
        <v>26</v>
      </c>
      <c r="G1418" s="383">
        <v>0</v>
      </c>
      <c r="H1418" s="379"/>
    </row>
    <row r="1419" spans="1:8" ht="18.75" customHeight="1">
      <c r="A1419" s="376">
        <v>4</v>
      </c>
      <c r="B1419" s="579" t="s">
        <v>159</v>
      </c>
      <c r="C1419" s="579"/>
      <c r="D1419" s="579"/>
      <c r="E1419" s="579"/>
      <c r="F1419" s="579"/>
      <c r="G1419" s="579"/>
      <c r="H1419" s="579"/>
    </row>
    <row r="1420" spans="1:8" ht="31.5">
      <c r="A1420" s="376" t="s">
        <v>160</v>
      </c>
      <c r="B1420" s="381" t="s">
        <v>161</v>
      </c>
      <c r="C1420" s="378" t="s">
        <v>26</v>
      </c>
      <c r="D1420" s="378" t="s">
        <v>26</v>
      </c>
      <c r="E1420" s="378" t="s">
        <v>26</v>
      </c>
      <c r="F1420" s="378" t="s">
        <v>26</v>
      </c>
      <c r="G1420" s="378" t="s">
        <v>26</v>
      </c>
      <c r="H1420" s="379" t="s">
        <v>130</v>
      </c>
    </row>
    <row r="1421" spans="1:8" ht="47.25">
      <c r="A1421" s="376" t="s">
        <v>162</v>
      </c>
      <c r="B1421" s="381" t="s">
        <v>163</v>
      </c>
      <c r="C1421" s="378" t="s">
        <v>26</v>
      </c>
      <c r="D1421" s="378" t="s">
        <v>26</v>
      </c>
      <c r="E1421" s="378" t="s">
        <v>26</v>
      </c>
      <c r="F1421" s="378" t="s">
        <v>26</v>
      </c>
      <c r="G1421" s="378" t="s">
        <v>26</v>
      </c>
      <c r="H1421" s="379" t="s">
        <v>130</v>
      </c>
    </row>
    <row r="1422" spans="1:8" ht="31.5">
      <c r="A1422" s="376" t="s">
        <v>164</v>
      </c>
      <c r="B1422" s="382" t="s">
        <v>165</v>
      </c>
      <c r="C1422" s="378" t="s">
        <v>26</v>
      </c>
      <c r="D1422" s="378" t="s">
        <v>26</v>
      </c>
      <c r="E1422" s="378" t="s">
        <v>26</v>
      </c>
      <c r="F1422" s="378" t="s">
        <v>26</v>
      </c>
      <c r="G1422" s="378" t="s">
        <v>26</v>
      </c>
      <c r="H1422" s="379" t="s">
        <v>130</v>
      </c>
    </row>
    <row r="1423" spans="1:8" ht="31.5">
      <c r="A1423" s="384" t="s">
        <v>166</v>
      </c>
      <c r="B1423" s="385" t="s">
        <v>167</v>
      </c>
      <c r="C1423" s="386" t="s">
        <v>26</v>
      </c>
      <c r="D1423" s="386" t="s">
        <v>26</v>
      </c>
      <c r="E1423" s="386" t="s">
        <v>26</v>
      </c>
      <c r="F1423" s="386" t="s">
        <v>26</v>
      </c>
      <c r="G1423" s="386" t="s">
        <v>26</v>
      </c>
      <c r="H1423" s="387" t="s">
        <v>130</v>
      </c>
    </row>
    <row r="1424" spans="1:8" ht="15.75">
      <c r="A1424" s="388"/>
      <c r="B1424" s="389"/>
      <c r="C1424" s="390"/>
      <c r="D1424" s="390"/>
      <c r="E1424" s="390"/>
      <c r="F1424" s="390"/>
      <c r="G1424" s="390"/>
      <c r="H1424" s="98"/>
    </row>
    <row r="1425" spans="1:8" ht="18.75" customHeight="1">
      <c r="A1425" s="580" t="s">
        <v>168</v>
      </c>
      <c r="B1425" s="580"/>
      <c r="C1425" s="580"/>
      <c r="D1425" s="580"/>
      <c r="E1425" s="580"/>
      <c r="F1425" s="580"/>
      <c r="G1425" s="580"/>
      <c r="H1425" s="580"/>
    </row>
    <row r="1426" spans="1:8" ht="15.75">
      <c r="A1426" s="391"/>
      <c r="B1426" s="391"/>
      <c r="C1426" s="391"/>
      <c r="D1426" s="391"/>
      <c r="E1426" s="391"/>
      <c r="F1426" s="391"/>
      <c r="G1426" s="391"/>
      <c r="H1426" s="391"/>
    </row>
    <row r="1428" ht="15.75">
      <c r="H1428" s="6" t="s">
        <v>113</v>
      </c>
    </row>
    <row r="1429" ht="15.75">
      <c r="H1429" s="6" t="s">
        <v>114</v>
      </c>
    </row>
    <row r="1430" ht="15.75">
      <c r="H1430" s="6" t="s">
        <v>115</v>
      </c>
    </row>
    <row r="1431" ht="15.75">
      <c r="H1431" s="6"/>
    </row>
    <row r="1432" spans="1:8" ht="18.75" customHeight="1">
      <c r="A1432" s="622" t="s">
        <v>116</v>
      </c>
      <c r="B1432" s="622"/>
      <c r="C1432" s="622"/>
      <c r="D1432" s="622"/>
      <c r="E1432" s="622"/>
      <c r="F1432" s="622"/>
      <c r="G1432" s="622"/>
      <c r="H1432" s="622"/>
    </row>
    <row r="1433" spans="1:8" ht="18.75" customHeight="1">
      <c r="A1433" s="622" t="s">
        <v>117</v>
      </c>
      <c r="B1433" s="622"/>
      <c r="C1433" s="622"/>
      <c r="D1433" s="622"/>
      <c r="E1433" s="622"/>
      <c r="F1433" s="622"/>
      <c r="G1433" s="622"/>
      <c r="H1433" s="622"/>
    </row>
    <row r="1434" ht="15.75">
      <c r="H1434" s="6" t="s">
        <v>562</v>
      </c>
    </row>
    <row r="1435" ht="15.75">
      <c r="H1435" s="6" t="s">
        <v>769</v>
      </c>
    </row>
    <row r="1436" ht="15.75">
      <c r="H1436" s="6" t="s">
        <v>770</v>
      </c>
    </row>
    <row r="1437" ht="15.75">
      <c r="H1437" s="361" t="str">
        <f>H11</f>
        <v>                         Добровольский К.А.</v>
      </c>
    </row>
    <row r="1438" ht="15.75">
      <c r="H1438" s="6" t="s">
        <v>772</v>
      </c>
    </row>
    <row r="1439" ht="15.75">
      <c r="H1439" s="6" t="s">
        <v>567</v>
      </c>
    </row>
    <row r="1440" ht="15.75">
      <c r="A1440" s="362"/>
    </row>
    <row r="1441" ht="15.75">
      <c r="A1441" s="3" t="s">
        <v>254</v>
      </c>
    </row>
    <row r="1442" spans="1:8" ht="18.75" customHeight="1">
      <c r="A1442" s="623" t="s">
        <v>120</v>
      </c>
      <c r="B1442" s="623"/>
      <c r="C1442" s="623"/>
      <c r="D1442" s="623"/>
      <c r="E1442" s="623"/>
      <c r="F1442" s="623"/>
      <c r="G1442" s="623"/>
      <c r="H1442" s="623"/>
    </row>
    <row r="1443" spans="1:8" ht="15.75">
      <c r="A1443" s="364"/>
      <c r="B1443" s="364"/>
      <c r="C1443" s="366"/>
      <c r="D1443" s="366"/>
      <c r="E1443" s="366"/>
      <c r="F1443" s="366"/>
      <c r="G1443" s="366"/>
      <c r="H1443" s="366"/>
    </row>
    <row r="1444" spans="1:8" ht="16.5" customHeight="1">
      <c r="A1444" s="581" t="s">
        <v>121</v>
      </c>
      <c r="B1444" s="559" t="s">
        <v>122</v>
      </c>
      <c r="C1444" s="560" t="s">
        <v>123</v>
      </c>
      <c r="D1444" s="560"/>
      <c r="E1444" s="560"/>
      <c r="F1444" s="560"/>
      <c r="G1444" s="561" t="s">
        <v>124</v>
      </c>
      <c r="H1444" s="581" t="s">
        <v>125</v>
      </c>
    </row>
    <row r="1445" spans="1:8" ht="15.75">
      <c r="A1445" s="581"/>
      <c r="B1445" s="559"/>
      <c r="C1445" s="560"/>
      <c r="D1445" s="560"/>
      <c r="E1445" s="560"/>
      <c r="F1445" s="560"/>
      <c r="G1445" s="561"/>
      <c r="H1445" s="581"/>
    </row>
    <row r="1446" spans="1:8" ht="31.5">
      <c r="A1446" s="581"/>
      <c r="B1446" s="559"/>
      <c r="C1446" s="369" t="s">
        <v>126</v>
      </c>
      <c r="D1446" s="369" t="s">
        <v>127</v>
      </c>
      <c r="E1446" s="370" t="s">
        <v>126</v>
      </c>
      <c r="F1446" s="371" t="s">
        <v>127</v>
      </c>
      <c r="G1446" s="561"/>
      <c r="H1446" s="581"/>
    </row>
    <row r="1447" spans="1:8" ht="15.75">
      <c r="A1447" s="367">
        <v>1</v>
      </c>
      <c r="B1447" s="367">
        <v>2</v>
      </c>
      <c r="C1447" s="372">
        <v>3</v>
      </c>
      <c r="D1447" s="372">
        <v>4</v>
      </c>
      <c r="E1447" s="373"/>
      <c r="F1447" s="374"/>
      <c r="G1447" s="368">
        <v>5</v>
      </c>
      <c r="H1447" s="367">
        <v>6</v>
      </c>
    </row>
    <row r="1448" spans="1:8" ht="18.75" customHeight="1">
      <c r="A1448" s="375">
        <v>1</v>
      </c>
      <c r="B1448" s="582" t="s">
        <v>128</v>
      </c>
      <c r="C1448" s="582"/>
      <c r="D1448" s="582"/>
      <c r="E1448" s="582"/>
      <c r="F1448" s="582"/>
      <c r="G1448" s="582"/>
      <c r="H1448" s="582"/>
    </row>
    <row r="1449" spans="1:8" ht="15.75">
      <c r="A1449" s="376" t="s">
        <v>594</v>
      </c>
      <c r="B1449" s="377" t="s">
        <v>129</v>
      </c>
      <c r="C1449" s="378" t="s">
        <v>26</v>
      </c>
      <c r="D1449" s="378" t="s">
        <v>26</v>
      </c>
      <c r="E1449" s="378" t="s">
        <v>26</v>
      </c>
      <c r="F1449" s="378" t="s">
        <v>26</v>
      </c>
      <c r="G1449" s="378" t="s">
        <v>26</v>
      </c>
      <c r="H1449" s="379" t="s">
        <v>130</v>
      </c>
    </row>
    <row r="1450" spans="1:8" ht="15.75">
      <c r="A1450" s="376" t="s">
        <v>735</v>
      </c>
      <c r="B1450" s="377" t="s">
        <v>131</v>
      </c>
      <c r="C1450" s="378" t="s">
        <v>26</v>
      </c>
      <c r="D1450" s="378" t="s">
        <v>26</v>
      </c>
      <c r="E1450" s="378" t="s">
        <v>26</v>
      </c>
      <c r="F1450" s="378" t="s">
        <v>26</v>
      </c>
      <c r="G1450" s="378" t="s">
        <v>26</v>
      </c>
      <c r="H1450" s="379" t="s">
        <v>130</v>
      </c>
    </row>
    <row r="1451" spans="1:8" ht="31.5">
      <c r="A1451" s="376" t="s">
        <v>737</v>
      </c>
      <c r="B1451" s="381" t="s">
        <v>132</v>
      </c>
      <c r="C1451" s="566" t="s">
        <v>88</v>
      </c>
      <c r="D1451" s="566" t="s">
        <v>89</v>
      </c>
      <c r="E1451" s="378" t="s">
        <v>26</v>
      </c>
      <c r="F1451" s="378" t="s">
        <v>26</v>
      </c>
      <c r="G1451" s="378" t="s">
        <v>26</v>
      </c>
      <c r="H1451" s="379" t="s">
        <v>130</v>
      </c>
    </row>
    <row r="1452" spans="1:8" ht="47.25">
      <c r="A1452" s="376" t="s">
        <v>739</v>
      </c>
      <c r="B1452" s="381" t="s">
        <v>133</v>
      </c>
      <c r="C1452" s="566" t="s">
        <v>90</v>
      </c>
      <c r="D1452" s="566" t="s">
        <v>91</v>
      </c>
      <c r="E1452" s="378" t="s">
        <v>26</v>
      </c>
      <c r="F1452" s="378" t="s">
        <v>26</v>
      </c>
      <c r="G1452" s="378" t="s">
        <v>26</v>
      </c>
      <c r="H1452" s="379" t="s">
        <v>130</v>
      </c>
    </row>
    <row r="1453" spans="1:8" ht="15.75">
      <c r="A1453" s="376" t="s">
        <v>852</v>
      </c>
      <c r="B1453" s="382" t="s">
        <v>134</v>
      </c>
      <c r="C1453" s="566" t="s">
        <v>92</v>
      </c>
      <c r="D1453" s="566" t="s">
        <v>93</v>
      </c>
      <c r="E1453" s="378" t="s">
        <v>26</v>
      </c>
      <c r="F1453" s="378" t="s">
        <v>26</v>
      </c>
      <c r="G1453" s="378" t="s">
        <v>26</v>
      </c>
      <c r="H1453" s="379" t="s">
        <v>130</v>
      </c>
    </row>
    <row r="1454" spans="1:8" ht="15.75">
      <c r="A1454" s="376" t="s">
        <v>853</v>
      </c>
      <c r="B1454" s="382" t="s">
        <v>135</v>
      </c>
      <c r="C1454" s="566" t="s">
        <v>88</v>
      </c>
      <c r="D1454" s="566" t="s">
        <v>234</v>
      </c>
      <c r="E1454" s="378" t="s">
        <v>26</v>
      </c>
      <c r="F1454" s="378" t="s">
        <v>26</v>
      </c>
      <c r="G1454" s="378" t="s">
        <v>26</v>
      </c>
      <c r="H1454" s="379" t="s">
        <v>130</v>
      </c>
    </row>
    <row r="1455" spans="1:8" ht="18.75" customHeight="1">
      <c r="A1455" s="376">
        <v>2</v>
      </c>
      <c r="B1455" s="579" t="s">
        <v>136</v>
      </c>
      <c r="C1455" s="579"/>
      <c r="D1455" s="579"/>
      <c r="E1455" s="579"/>
      <c r="F1455" s="579"/>
      <c r="G1455" s="579"/>
      <c r="H1455" s="579"/>
    </row>
    <row r="1456" spans="1:8" ht="31.5">
      <c r="A1456" s="376" t="s">
        <v>743</v>
      </c>
      <c r="B1456" s="381" t="s">
        <v>137</v>
      </c>
      <c r="C1456" s="378" t="s">
        <v>239</v>
      </c>
      <c r="D1456" s="378" t="s">
        <v>245</v>
      </c>
      <c r="E1456" s="378" t="s">
        <v>26</v>
      </c>
      <c r="F1456" s="378" t="s">
        <v>26</v>
      </c>
      <c r="G1456" s="383">
        <v>0</v>
      </c>
      <c r="H1456" s="379"/>
    </row>
    <row r="1457" spans="1:8" ht="47.25">
      <c r="A1457" s="376" t="s">
        <v>746</v>
      </c>
      <c r="B1457" s="381" t="s">
        <v>140</v>
      </c>
      <c r="C1457" s="378" t="s">
        <v>26</v>
      </c>
      <c r="D1457" s="378" t="s">
        <v>26</v>
      </c>
      <c r="E1457" s="378" t="s">
        <v>26</v>
      </c>
      <c r="F1457" s="378" t="s">
        <v>26</v>
      </c>
      <c r="G1457" s="378" t="s">
        <v>26</v>
      </c>
      <c r="H1457" s="379" t="s">
        <v>130</v>
      </c>
    </row>
    <row r="1458" spans="1:8" ht="31.5">
      <c r="A1458" s="376" t="s">
        <v>141</v>
      </c>
      <c r="B1458" s="381" t="s">
        <v>142</v>
      </c>
      <c r="C1458" s="378" t="s">
        <v>26</v>
      </c>
      <c r="D1458" s="378" t="s">
        <v>26</v>
      </c>
      <c r="E1458" s="378" t="s">
        <v>26</v>
      </c>
      <c r="F1458" s="378" t="s">
        <v>26</v>
      </c>
      <c r="G1458" s="378" t="s">
        <v>26</v>
      </c>
      <c r="H1458" s="379" t="s">
        <v>130</v>
      </c>
    </row>
    <row r="1459" spans="1:8" ht="18.75" customHeight="1">
      <c r="A1459" s="376">
        <v>3</v>
      </c>
      <c r="B1459" s="579" t="s">
        <v>184</v>
      </c>
      <c r="C1459" s="579"/>
      <c r="D1459" s="579"/>
      <c r="E1459" s="579"/>
      <c r="F1459" s="579"/>
      <c r="G1459" s="579"/>
      <c r="H1459" s="579"/>
    </row>
    <row r="1460" spans="1:8" ht="31.5">
      <c r="A1460" s="376" t="s">
        <v>756</v>
      </c>
      <c r="B1460" s="382" t="s">
        <v>144</v>
      </c>
      <c r="C1460" s="378" t="s">
        <v>26</v>
      </c>
      <c r="D1460" s="378" t="s">
        <v>26</v>
      </c>
      <c r="E1460" s="378" t="s">
        <v>26</v>
      </c>
      <c r="F1460" s="378" t="s">
        <v>26</v>
      </c>
      <c r="G1460" s="378" t="s">
        <v>26</v>
      </c>
      <c r="H1460" s="379" t="s">
        <v>130</v>
      </c>
    </row>
    <row r="1461" spans="1:8" ht="15.75">
      <c r="A1461" s="376" t="s">
        <v>757</v>
      </c>
      <c r="B1461" s="382" t="s">
        <v>145</v>
      </c>
      <c r="C1461" s="378" t="s">
        <v>239</v>
      </c>
      <c r="D1461" s="378" t="s">
        <v>235</v>
      </c>
      <c r="E1461" s="378" t="s">
        <v>26</v>
      </c>
      <c r="F1461" s="378" t="s">
        <v>26</v>
      </c>
      <c r="G1461" s="383">
        <v>0</v>
      </c>
      <c r="H1461" s="379"/>
    </row>
    <row r="1462" spans="1:8" ht="15.75">
      <c r="A1462" s="376" t="s">
        <v>147</v>
      </c>
      <c r="B1462" s="382" t="s">
        <v>148</v>
      </c>
      <c r="C1462" s="378" t="s">
        <v>246</v>
      </c>
      <c r="D1462" s="378" t="s">
        <v>247</v>
      </c>
      <c r="E1462" s="378" t="s">
        <v>26</v>
      </c>
      <c r="F1462" s="378" t="s">
        <v>26</v>
      </c>
      <c r="G1462" s="383">
        <v>0</v>
      </c>
      <c r="H1462" s="379"/>
    </row>
    <row r="1463" spans="1:8" ht="15.75">
      <c r="A1463" s="376" t="s">
        <v>151</v>
      </c>
      <c r="B1463" s="382" t="s">
        <v>152</v>
      </c>
      <c r="C1463" s="378" t="s">
        <v>248</v>
      </c>
      <c r="D1463" s="378" t="s">
        <v>249</v>
      </c>
      <c r="E1463" s="378" t="s">
        <v>26</v>
      </c>
      <c r="F1463" s="378" t="s">
        <v>26</v>
      </c>
      <c r="G1463" s="383">
        <v>0</v>
      </c>
      <c r="H1463" s="379"/>
    </row>
    <row r="1464" spans="1:8" ht="15.75">
      <c r="A1464" s="376" t="s">
        <v>155</v>
      </c>
      <c r="B1464" s="382" t="s">
        <v>156</v>
      </c>
      <c r="C1464" s="378" t="s">
        <v>250</v>
      </c>
      <c r="D1464" s="378" t="s">
        <v>251</v>
      </c>
      <c r="E1464" s="378" t="s">
        <v>26</v>
      </c>
      <c r="F1464" s="378" t="s">
        <v>26</v>
      </c>
      <c r="G1464" s="383">
        <v>0</v>
      </c>
      <c r="H1464" s="379"/>
    </row>
    <row r="1465" spans="1:8" ht="18.75" customHeight="1">
      <c r="A1465" s="376">
        <v>4</v>
      </c>
      <c r="B1465" s="579" t="s">
        <v>159</v>
      </c>
      <c r="C1465" s="579"/>
      <c r="D1465" s="579"/>
      <c r="E1465" s="579"/>
      <c r="F1465" s="579"/>
      <c r="G1465" s="579"/>
      <c r="H1465" s="579"/>
    </row>
    <row r="1466" spans="1:8" ht="31.5">
      <c r="A1466" s="376" t="s">
        <v>160</v>
      </c>
      <c r="B1466" s="381" t="s">
        <v>161</v>
      </c>
      <c r="C1466" s="378" t="s">
        <v>26</v>
      </c>
      <c r="D1466" s="378" t="s">
        <v>26</v>
      </c>
      <c r="E1466" s="378" t="s">
        <v>26</v>
      </c>
      <c r="F1466" s="378" t="s">
        <v>26</v>
      </c>
      <c r="G1466" s="378" t="s">
        <v>26</v>
      </c>
      <c r="H1466" s="379" t="s">
        <v>130</v>
      </c>
    </row>
    <row r="1467" spans="1:8" ht="47.25">
      <c r="A1467" s="376" t="s">
        <v>162</v>
      </c>
      <c r="B1467" s="381" t="s">
        <v>163</v>
      </c>
      <c r="C1467" s="378" t="s">
        <v>26</v>
      </c>
      <c r="D1467" s="378" t="s">
        <v>26</v>
      </c>
      <c r="E1467" s="378" t="s">
        <v>26</v>
      </c>
      <c r="F1467" s="378" t="s">
        <v>26</v>
      </c>
      <c r="G1467" s="378" t="s">
        <v>26</v>
      </c>
      <c r="H1467" s="379" t="s">
        <v>130</v>
      </c>
    </row>
    <row r="1468" spans="1:8" ht="31.5">
      <c r="A1468" s="376" t="s">
        <v>164</v>
      </c>
      <c r="B1468" s="382" t="s">
        <v>165</v>
      </c>
      <c r="C1468" s="378" t="s">
        <v>26</v>
      </c>
      <c r="D1468" s="378" t="s">
        <v>26</v>
      </c>
      <c r="E1468" s="378" t="s">
        <v>26</v>
      </c>
      <c r="F1468" s="378" t="s">
        <v>26</v>
      </c>
      <c r="G1468" s="378" t="s">
        <v>26</v>
      </c>
      <c r="H1468" s="379" t="s">
        <v>130</v>
      </c>
    </row>
    <row r="1469" spans="1:8" ht="31.5">
      <c r="A1469" s="384" t="s">
        <v>166</v>
      </c>
      <c r="B1469" s="385" t="s">
        <v>167</v>
      </c>
      <c r="C1469" s="386" t="s">
        <v>26</v>
      </c>
      <c r="D1469" s="386" t="s">
        <v>26</v>
      </c>
      <c r="E1469" s="386" t="s">
        <v>26</v>
      </c>
      <c r="F1469" s="386" t="s">
        <v>26</v>
      </c>
      <c r="G1469" s="386" t="s">
        <v>26</v>
      </c>
      <c r="H1469" s="387" t="s">
        <v>130</v>
      </c>
    </row>
    <row r="1470" spans="1:8" ht="15.75">
      <c r="A1470" s="388"/>
      <c r="B1470" s="389"/>
      <c r="C1470" s="390"/>
      <c r="D1470" s="390"/>
      <c r="E1470" s="390"/>
      <c r="F1470" s="390"/>
      <c r="G1470" s="390"/>
      <c r="H1470" s="98"/>
    </row>
    <row r="1471" spans="1:8" ht="18.75" customHeight="1">
      <c r="A1471" s="580" t="s">
        <v>168</v>
      </c>
      <c r="B1471" s="580"/>
      <c r="C1471" s="580"/>
      <c r="D1471" s="580"/>
      <c r="E1471" s="580"/>
      <c r="F1471" s="580"/>
      <c r="G1471" s="580"/>
      <c r="H1471" s="580"/>
    </row>
    <row r="1474" ht="15.75">
      <c r="H1474" s="6" t="s">
        <v>113</v>
      </c>
    </row>
    <row r="1475" ht="15.75">
      <c r="H1475" s="6" t="s">
        <v>114</v>
      </c>
    </row>
    <row r="1476" ht="15.75">
      <c r="H1476" s="6" t="s">
        <v>115</v>
      </c>
    </row>
    <row r="1477" ht="15.75">
      <c r="H1477" s="6"/>
    </row>
    <row r="1478" spans="1:8" ht="18.75" customHeight="1">
      <c r="A1478" s="622" t="s">
        <v>116</v>
      </c>
      <c r="B1478" s="622"/>
      <c r="C1478" s="622"/>
      <c r="D1478" s="622"/>
      <c r="E1478" s="622"/>
      <c r="F1478" s="622"/>
      <c r="G1478" s="622"/>
      <c r="H1478" s="622"/>
    </row>
    <row r="1479" spans="1:8" ht="18.75" customHeight="1">
      <c r="A1479" s="622" t="s">
        <v>117</v>
      </c>
      <c r="B1479" s="622"/>
      <c r="C1479" s="622"/>
      <c r="D1479" s="622"/>
      <c r="E1479" s="622"/>
      <c r="F1479" s="622"/>
      <c r="G1479" s="622"/>
      <c r="H1479" s="622"/>
    </row>
    <row r="1480" ht="15.75">
      <c r="H1480" s="6" t="s">
        <v>562</v>
      </c>
    </row>
    <row r="1481" ht="15.75">
      <c r="H1481" s="6" t="s">
        <v>769</v>
      </c>
    </row>
    <row r="1482" ht="15.75">
      <c r="H1482" s="6" t="s">
        <v>770</v>
      </c>
    </row>
    <row r="1483" ht="15.75">
      <c r="H1483" s="361" t="str">
        <f>H11</f>
        <v>                         Добровольский К.А.</v>
      </c>
    </row>
    <row r="1484" ht="15.75">
      <c r="H1484" s="6" t="s">
        <v>772</v>
      </c>
    </row>
    <row r="1485" ht="15.75">
      <c r="H1485" s="6" t="s">
        <v>567</v>
      </c>
    </row>
    <row r="1486" ht="15.75">
      <c r="A1486" s="362"/>
    </row>
    <row r="1487" ht="15.75">
      <c r="A1487" s="3" t="s">
        <v>255</v>
      </c>
    </row>
    <row r="1488" spans="1:8" ht="18.75" customHeight="1">
      <c r="A1488" s="623" t="s">
        <v>120</v>
      </c>
      <c r="B1488" s="623"/>
      <c r="C1488" s="623"/>
      <c r="D1488" s="623"/>
      <c r="E1488" s="623"/>
      <c r="F1488" s="623"/>
      <c r="G1488" s="623"/>
      <c r="H1488" s="623"/>
    </row>
    <row r="1489" spans="1:8" ht="15.75">
      <c r="A1489" s="364"/>
      <c r="B1489" s="364"/>
      <c r="C1489" s="366"/>
      <c r="D1489" s="366"/>
      <c r="E1489" s="366"/>
      <c r="F1489" s="366"/>
      <c r="G1489" s="366"/>
      <c r="H1489" s="366"/>
    </row>
    <row r="1490" spans="1:8" ht="16.5" customHeight="1">
      <c r="A1490" s="581" t="s">
        <v>121</v>
      </c>
      <c r="B1490" s="559" t="s">
        <v>122</v>
      </c>
      <c r="C1490" s="560" t="s">
        <v>123</v>
      </c>
      <c r="D1490" s="560"/>
      <c r="E1490" s="560"/>
      <c r="F1490" s="560"/>
      <c r="G1490" s="561" t="s">
        <v>124</v>
      </c>
      <c r="H1490" s="581" t="s">
        <v>125</v>
      </c>
    </row>
    <row r="1491" spans="1:8" ht="15.75">
      <c r="A1491" s="581"/>
      <c r="B1491" s="559"/>
      <c r="C1491" s="560"/>
      <c r="D1491" s="560"/>
      <c r="E1491" s="560"/>
      <c r="F1491" s="560"/>
      <c r="G1491" s="561"/>
      <c r="H1491" s="581"/>
    </row>
    <row r="1492" spans="1:8" ht="31.5">
      <c r="A1492" s="581"/>
      <c r="B1492" s="559"/>
      <c r="C1492" s="369" t="s">
        <v>126</v>
      </c>
      <c r="D1492" s="369" t="s">
        <v>127</v>
      </c>
      <c r="E1492" s="370" t="s">
        <v>126</v>
      </c>
      <c r="F1492" s="371" t="s">
        <v>127</v>
      </c>
      <c r="G1492" s="561"/>
      <c r="H1492" s="581"/>
    </row>
    <row r="1493" spans="1:8" ht="15.75">
      <c r="A1493" s="367">
        <v>1</v>
      </c>
      <c r="B1493" s="367">
        <v>2</v>
      </c>
      <c r="C1493" s="372">
        <v>3</v>
      </c>
      <c r="D1493" s="372">
        <v>4</v>
      </c>
      <c r="E1493" s="373"/>
      <c r="F1493" s="374"/>
      <c r="G1493" s="368">
        <v>5</v>
      </c>
      <c r="H1493" s="367">
        <v>6</v>
      </c>
    </row>
    <row r="1494" spans="1:8" ht="18.75" customHeight="1">
      <c r="A1494" s="375">
        <v>1</v>
      </c>
      <c r="B1494" s="582" t="s">
        <v>128</v>
      </c>
      <c r="C1494" s="582"/>
      <c r="D1494" s="582"/>
      <c r="E1494" s="582"/>
      <c r="F1494" s="582"/>
      <c r="G1494" s="582"/>
      <c r="H1494" s="582"/>
    </row>
    <row r="1495" spans="1:8" ht="15.75">
      <c r="A1495" s="376" t="s">
        <v>594</v>
      </c>
      <c r="B1495" s="377" t="s">
        <v>129</v>
      </c>
      <c r="C1495" s="378" t="s">
        <v>26</v>
      </c>
      <c r="D1495" s="378" t="s">
        <v>26</v>
      </c>
      <c r="E1495" s="378" t="s">
        <v>26</v>
      </c>
      <c r="F1495" s="378" t="s">
        <v>26</v>
      </c>
      <c r="G1495" s="378" t="s">
        <v>26</v>
      </c>
      <c r="H1495" s="379" t="s">
        <v>130</v>
      </c>
    </row>
    <row r="1496" spans="1:8" ht="15.75">
      <c r="A1496" s="376" t="s">
        <v>735</v>
      </c>
      <c r="B1496" s="377" t="s">
        <v>131</v>
      </c>
      <c r="C1496" s="378" t="s">
        <v>26</v>
      </c>
      <c r="D1496" s="378" t="s">
        <v>26</v>
      </c>
      <c r="E1496" s="378" t="s">
        <v>26</v>
      </c>
      <c r="F1496" s="378" t="s">
        <v>26</v>
      </c>
      <c r="G1496" s="378" t="s">
        <v>26</v>
      </c>
      <c r="H1496" s="379" t="s">
        <v>130</v>
      </c>
    </row>
    <row r="1497" spans="1:8" ht="31.5">
      <c r="A1497" s="376" t="s">
        <v>737</v>
      </c>
      <c r="B1497" s="381" t="s">
        <v>132</v>
      </c>
      <c r="C1497" s="566" t="s">
        <v>88</v>
      </c>
      <c r="D1497" s="566" t="s">
        <v>89</v>
      </c>
      <c r="E1497" s="378" t="s">
        <v>26</v>
      </c>
      <c r="F1497" s="378" t="s">
        <v>26</v>
      </c>
      <c r="G1497" s="378" t="s">
        <v>26</v>
      </c>
      <c r="H1497" s="379" t="s">
        <v>130</v>
      </c>
    </row>
    <row r="1498" spans="1:8" ht="47.25">
      <c r="A1498" s="376" t="s">
        <v>739</v>
      </c>
      <c r="B1498" s="381" t="s">
        <v>133</v>
      </c>
      <c r="C1498" s="566" t="s">
        <v>90</v>
      </c>
      <c r="D1498" s="566" t="s">
        <v>91</v>
      </c>
      <c r="E1498" s="378" t="s">
        <v>26</v>
      </c>
      <c r="F1498" s="378" t="s">
        <v>26</v>
      </c>
      <c r="G1498" s="378" t="s">
        <v>26</v>
      </c>
      <c r="H1498" s="379" t="s">
        <v>130</v>
      </c>
    </row>
    <row r="1499" spans="1:8" ht="15.75">
      <c r="A1499" s="376" t="s">
        <v>852</v>
      </c>
      <c r="B1499" s="382" t="s">
        <v>134</v>
      </c>
      <c r="C1499" s="566" t="s">
        <v>92</v>
      </c>
      <c r="D1499" s="566" t="s">
        <v>93</v>
      </c>
      <c r="E1499" s="378" t="s">
        <v>26</v>
      </c>
      <c r="F1499" s="378" t="s">
        <v>26</v>
      </c>
      <c r="G1499" s="378" t="s">
        <v>26</v>
      </c>
      <c r="H1499" s="379" t="s">
        <v>130</v>
      </c>
    </row>
    <row r="1500" spans="1:8" ht="15.75">
      <c r="A1500" s="376" t="s">
        <v>853</v>
      </c>
      <c r="B1500" s="382" t="s">
        <v>135</v>
      </c>
      <c r="C1500" s="566" t="s">
        <v>88</v>
      </c>
      <c r="D1500" s="566" t="s">
        <v>234</v>
      </c>
      <c r="E1500" s="378" t="s">
        <v>26</v>
      </c>
      <c r="F1500" s="378" t="s">
        <v>26</v>
      </c>
      <c r="G1500" s="378" t="s">
        <v>26</v>
      </c>
      <c r="H1500" s="379" t="s">
        <v>130</v>
      </c>
    </row>
    <row r="1501" spans="1:8" ht="18.75" customHeight="1">
      <c r="A1501" s="376">
        <v>2</v>
      </c>
      <c r="B1501" s="579" t="s">
        <v>136</v>
      </c>
      <c r="C1501" s="579"/>
      <c r="D1501" s="579"/>
      <c r="E1501" s="579"/>
      <c r="F1501" s="579"/>
      <c r="G1501" s="579"/>
      <c r="H1501" s="579"/>
    </row>
    <row r="1502" spans="1:8" ht="31.5">
      <c r="A1502" s="376" t="s">
        <v>743</v>
      </c>
      <c r="B1502" s="381" t="s">
        <v>137</v>
      </c>
      <c r="C1502" s="378" t="s">
        <v>249</v>
      </c>
      <c r="D1502" s="378" t="s">
        <v>256</v>
      </c>
      <c r="E1502" s="378" t="s">
        <v>26</v>
      </c>
      <c r="F1502" s="378" t="s">
        <v>26</v>
      </c>
      <c r="G1502" s="383">
        <v>0</v>
      </c>
      <c r="H1502" s="379"/>
    </row>
    <row r="1503" spans="1:8" ht="47.25">
      <c r="A1503" s="376" t="s">
        <v>746</v>
      </c>
      <c r="B1503" s="381" t="s">
        <v>140</v>
      </c>
      <c r="C1503" s="378" t="s">
        <v>26</v>
      </c>
      <c r="D1503" s="378" t="s">
        <v>26</v>
      </c>
      <c r="E1503" s="378" t="s">
        <v>26</v>
      </c>
      <c r="F1503" s="378" t="s">
        <v>26</v>
      </c>
      <c r="G1503" s="378" t="s">
        <v>26</v>
      </c>
      <c r="H1503" s="379" t="s">
        <v>130</v>
      </c>
    </row>
    <row r="1504" spans="1:8" ht="31.5">
      <c r="A1504" s="376" t="s">
        <v>141</v>
      </c>
      <c r="B1504" s="381" t="s">
        <v>142</v>
      </c>
      <c r="C1504" s="378" t="s">
        <v>26</v>
      </c>
      <c r="D1504" s="378" t="s">
        <v>26</v>
      </c>
      <c r="E1504" s="378" t="s">
        <v>26</v>
      </c>
      <c r="F1504" s="378" t="s">
        <v>26</v>
      </c>
      <c r="G1504" s="378" t="s">
        <v>26</v>
      </c>
      <c r="H1504" s="379" t="s">
        <v>130</v>
      </c>
    </row>
    <row r="1505" spans="1:8" ht="18.75" customHeight="1">
      <c r="A1505" s="376">
        <v>3</v>
      </c>
      <c r="B1505" s="579" t="s">
        <v>184</v>
      </c>
      <c r="C1505" s="579"/>
      <c r="D1505" s="579"/>
      <c r="E1505" s="579"/>
      <c r="F1505" s="579"/>
      <c r="G1505" s="579"/>
      <c r="H1505" s="579"/>
    </row>
    <row r="1506" spans="1:8" ht="31.5">
      <c r="A1506" s="376" t="s">
        <v>756</v>
      </c>
      <c r="B1506" s="382" t="s">
        <v>144</v>
      </c>
      <c r="C1506" s="378" t="s">
        <v>26</v>
      </c>
      <c r="D1506" s="378" t="s">
        <v>26</v>
      </c>
      <c r="E1506" s="378" t="s">
        <v>26</v>
      </c>
      <c r="F1506" s="378" t="s">
        <v>26</v>
      </c>
      <c r="G1506" s="378" t="s">
        <v>26</v>
      </c>
      <c r="H1506" s="379" t="s">
        <v>130</v>
      </c>
    </row>
    <row r="1507" spans="1:8" ht="15.75">
      <c r="A1507" s="376" t="s">
        <v>757</v>
      </c>
      <c r="B1507" s="382" t="s">
        <v>145</v>
      </c>
      <c r="C1507" s="378" t="s">
        <v>249</v>
      </c>
      <c r="D1507" s="378" t="s">
        <v>251</v>
      </c>
      <c r="E1507" s="378" t="s">
        <v>26</v>
      </c>
      <c r="F1507" s="378" t="s">
        <v>26</v>
      </c>
      <c r="G1507" s="383">
        <v>0</v>
      </c>
      <c r="H1507" s="379"/>
    </row>
    <row r="1508" spans="1:8" ht="15.75">
      <c r="A1508" s="376" t="s">
        <v>147</v>
      </c>
      <c r="B1508" s="382" t="s">
        <v>148</v>
      </c>
      <c r="C1508" s="378" t="s">
        <v>245</v>
      </c>
      <c r="D1508" s="378" t="s">
        <v>257</v>
      </c>
      <c r="E1508" s="378" t="s">
        <v>26</v>
      </c>
      <c r="F1508" s="378" t="s">
        <v>26</v>
      </c>
      <c r="G1508" s="383">
        <v>0</v>
      </c>
      <c r="H1508" s="379"/>
    </row>
    <row r="1509" spans="1:8" ht="15.75">
      <c r="A1509" s="376" t="s">
        <v>151</v>
      </c>
      <c r="B1509" s="382" t="s">
        <v>152</v>
      </c>
      <c r="C1509" s="378" t="s">
        <v>258</v>
      </c>
      <c r="D1509" s="378" t="s">
        <v>259</v>
      </c>
      <c r="E1509" s="378" t="s">
        <v>26</v>
      </c>
      <c r="F1509" s="378" t="s">
        <v>26</v>
      </c>
      <c r="G1509" s="383">
        <v>0</v>
      </c>
      <c r="H1509" s="379"/>
    </row>
    <row r="1510" spans="1:8" ht="15.75">
      <c r="A1510" s="376" t="s">
        <v>155</v>
      </c>
      <c r="B1510" s="382" t="s">
        <v>156</v>
      </c>
      <c r="C1510" s="378" t="s">
        <v>260</v>
      </c>
      <c r="D1510" s="378" t="s">
        <v>256</v>
      </c>
      <c r="E1510" s="378" t="s">
        <v>26</v>
      </c>
      <c r="F1510" s="378" t="s">
        <v>26</v>
      </c>
      <c r="G1510" s="383">
        <v>0</v>
      </c>
      <c r="H1510" s="379"/>
    </row>
    <row r="1511" spans="1:8" ht="18.75" customHeight="1">
      <c r="A1511" s="376">
        <v>4</v>
      </c>
      <c r="B1511" s="579" t="s">
        <v>159</v>
      </c>
      <c r="C1511" s="579"/>
      <c r="D1511" s="579"/>
      <c r="E1511" s="579"/>
      <c r="F1511" s="579"/>
      <c r="G1511" s="579"/>
      <c r="H1511" s="579"/>
    </row>
    <row r="1512" spans="1:8" ht="31.5">
      <c r="A1512" s="376" t="s">
        <v>160</v>
      </c>
      <c r="B1512" s="381" t="s">
        <v>161</v>
      </c>
      <c r="C1512" s="378" t="s">
        <v>26</v>
      </c>
      <c r="D1512" s="378" t="s">
        <v>26</v>
      </c>
      <c r="E1512" s="378" t="s">
        <v>26</v>
      </c>
      <c r="F1512" s="378" t="s">
        <v>26</v>
      </c>
      <c r="G1512" s="378" t="s">
        <v>26</v>
      </c>
      <c r="H1512" s="379" t="s">
        <v>130</v>
      </c>
    </row>
    <row r="1513" spans="1:8" ht="47.25">
      <c r="A1513" s="376" t="s">
        <v>162</v>
      </c>
      <c r="B1513" s="381" t="s">
        <v>163</v>
      </c>
      <c r="C1513" s="378" t="s">
        <v>26</v>
      </c>
      <c r="D1513" s="378" t="s">
        <v>26</v>
      </c>
      <c r="E1513" s="378" t="s">
        <v>26</v>
      </c>
      <c r="F1513" s="378" t="s">
        <v>26</v>
      </c>
      <c r="G1513" s="378" t="s">
        <v>26</v>
      </c>
      <c r="H1513" s="379" t="s">
        <v>130</v>
      </c>
    </row>
    <row r="1514" spans="1:8" ht="31.5">
      <c r="A1514" s="376" t="s">
        <v>164</v>
      </c>
      <c r="B1514" s="382" t="s">
        <v>165</v>
      </c>
      <c r="C1514" s="378" t="s">
        <v>26</v>
      </c>
      <c r="D1514" s="378" t="s">
        <v>26</v>
      </c>
      <c r="E1514" s="378" t="s">
        <v>26</v>
      </c>
      <c r="F1514" s="378" t="s">
        <v>26</v>
      </c>
      <c r="G1514" s="378" t="s">
        <v>26</v>
      </c>
      <c r="H1514" s="379" t="s">
        <v>130</v>
      </c>
    </row>
    <row r="1515" spans="1:8" ht="31.5">
      <c r="A1515" s="384" t="s">
        <v>166</v>
      </c>
      <c r="B1515" s="385" t="s">
        <v>167</v>
      </c>
      <c r="C1515" s="386" t="s">
        <v>26</v>
      </c>
      <c r="D1515" s="386" t="s">
        <v>26</v>
      </c>
      <c r="E1515" s="386" t="s">
        <v>26</v>
      </c>
      <c r="F1515" s="386" t="s">
        <v>26</v>
      </c>
      <c r="G1515" s="386" t="s">
        <v>26</v>
      </c>
      <c r="H1515" s="387" t="s">
        <v>130</v>
      </c>
    </row>
    <row r="1516" spans="1:8" ht="15.75">
      <c r="A1516" s="388"/>
      <c r="B1516" s="389"/>
      <c r="C1516" s="390"/>
      <c r="D1516" s="390"/>
      <c r="E1516" s="390"/>
      <c r="F1516" s="390"/>
      <c r="G1516" s="390"/>
      <c r="H1516" s="98"/>
    </row>
    <row r="1517" spans="1:8" ht="18.75" customHeight="1">
      <c r="A1517" s="580" t="s">
        <v>168</v>
      </c>
      <c r="B1517" s="580"/>
      <c r="C1517" s="580"/>
      <c r="D1517" s="580"/>
      <c r="E1517" s="580"/>
      <c r="F1517" s="580"/>
      <c r="G1517" s="580"/>
      <c r="H1517" s="580"/>
    </row>
    <row r="1520" ht="15.75">
      <c r="H1520" s="6" t="s">
        <v>113</v>
      </c>
    </row>
    <row r="1521" ht="15.75">
      <c r="H1521" s="6" t="s">
        <v>114</v>
      </c>
    </row>
    <row r="1522" ht="15.75">
      <c r="H1522" s="6" t="s">
        <v>115</v>
      </c>
    </row>
    <row r="1523" ht="15.75">
      <c r="H1523" s="6"/>
    </row>
    <row r="1524" spans="1:8" ht="18.75" customHeight="1">
      <c r="A1524" s="622" t="s">
        <v>116</v>
      </c>
      <c r="B1524" s="622"/>
      <c r="C1524" s="622"/>
      <c r="D1524" s="622"/>
      <c r="E1524" s="622"/>
      <c r="F1524" s="622"/>
      <c r="G1524" s="622"/>
      <c r="H1524" s="622"/>
    </row>
    <row r="1525" spans="1:8" ht="18.75" customHeight="1">
      <c r="A1525" s="622" t="s">
        <v>117</v>
      </c>
      <c r="B1525" s="622"/>
      <c r="C1525" s="622"/>
      <c r="D1525" s="622"/>
      <c r="E1525" s="622"/>
      <c r="F1525" s="622"/>
      <c r="G1525" s="622"/>
      <c r="H1525" s="622"/>
    </row>
    <row r="1526" ht="15.75">
      <c r="H1526" s="6" t="s">
        <v>562</v>
      </c>
    </row>
    <row r="1527" ht="15.75">
      <c r="H1527" s="6" t="s">
        <v>769</v>
      </c>
    </row>
    <row r="1528" ht="15.75">
      <c r="H1528" s="6" t="s">
        <v>770</v>
      </c>
    </row>
    <row r="1529" ht="15.75">
      <c r="H1529" s="361" t="str">
        <f>H11</f>
        <v>                         Добровольский К.А.</v>
      </c>
    </row>
    <row r="1530" ht="15.75">
      <c r="H1530" s="6" t="s">
        <v>772</v>
      </c>
    </row>
    <row r="1531" ht="15.75">
      <c r="H1531" s="6" t="s">
        <v>567</v>
      </c>
    </row>
    <row r="1532" ht="15.75">
      <c r="A1532" s="362"/>
    </row>
    <row r="1533" ht="15.75">
      <c r="A1533" s="3" t="s">
        <v>261</v>
      </c>
    </row>
    <row r="1534" spans="1:8" ht="18.75" customHeight="1">
      <c r="A1534" s="623" t="s">
        <v>120</v>
      </c>
      <c r="B1534" s="623"/>
      <c r="C1534" s="623"/>
      <c r="D1534" s="623"/>
      <c r="E1534" s="623"/>
      <c r="F1534" s="623"/>
      <c r="G1534" s="623"/>
      <c r="H1534" s="623"/>
    </row>
    <row r="1535" spans="1:8" ht="15.75">
      <c r="A1535" s="364"/>
      <c r="B1535" s="364"/>
      <c r="C1535" s="366"/>
      <c r="D1535" s="366"/>
      <c r="E1535" s="366"/>
      <c r="F1535" s="366"/>
      <c r="G1535" s="366"/>
      <c r="H1535" s="366"/>
    </row>
    <row r="1536" spans="1:8" ht="16.5" customHeight="1">
      <c r="A1536" s="581" t="s">
        <v>121</v>
      </c>
      <c r="B1536" s="559" t="s">
        <v>122</v>
      </c>
      <c r="C1536" s="560" t="s">
        <v>123</v>
      </c>
      <c r="D1536" s="560"/>
      <c r="E1536" s="560"/>
      <c r="F1536" s="560"/>
      <c r="G1536" s="561" t="s">
        <v>124</v>
      </c>
      <c r="H1536" s="581" t="s">
        <v>125</v>
      </c>
    </row>
    <row r="1537" spans="1:8" ht="15.75">
      <c r="A1537" s="581"/>
      <c r="B1537" s="559"/>
      <c r="C1537" s="560"/>
      <c r="D1537" s="560"/>
      <c r="E1537" s="560"/>
      <c r="F1537" s="560"/>
      <c r="G1537" s="561"/>
      <c r="H1537" s="581"/>
    </row>
    <row r="1538" spans="1:8" ht="31.5">
      <c r="A1538" s="581"/>
      <c r="B1538" s="559"/>
      <c r="C1538" s="369" t="s">
        <v>126</v>
      </c>
      <c r="D1538" s="369" t="s">
        <v>127</v>
      </c>
      <c r="E1538" s="370" t="s">
        <v>126</v>
      </c>
      <c r="F1538" s="371" t="s">
        <v>127</v>
      </c>
      <c r="G1538" s="561"/>
      <c r="H1538" s="581"/>
    </row>
    <row r="1539" spans="1:8" ht="15.75">
      <c r="A1539" s="367">
        <v>1</v>
      </c>
      <c r="B1539" s="367">
        <v>2</v>
      </c>
      <c r="C1539" s="372">
        <v>3</v>
      </c>
      <c r="D1539" s="372">
        <v>4</v>
      </c>
      <c r="E1539" s="373"/>
      <c r="F1539" s="374"/>
      <c r="G1539" s="368">
        <v>5</v>
      </c>
      <c r="H1539" s="367">
        <v>6</v>
      </c>
    </row>
    <row r="1540" spans="1:8" ht="18.75" customHeight="1">
      <c r="A1540" s="375">
        <v>1</v>
      </c>
      <c r="B1540" s="582" t="s">
        <v>128</v>
      </c>
      <c r="C1540" s="582"/>
      <c r="D1540" s="582"/>
      <c r="E1540" s="582"/>
      <c r="F1540" s="582"/>
      <c r="G1540" s="582"/>
      <c r="H1540" s="582"/>
    </row>
    <row r="1541" spans="1:8" ht="15.75">
      <c r="A1541" s="376" t="s">
        <v>594</v>
      </c>
      <c r="B1541" s="377" t="s">
        <v>129</v>
      </c>
      <c r="C1541" s="378" t="s">
        <v>26</v>
      </c>
      <c r="D1541" s="378" t="s">
        <v>26</v>
      </c>
      <c r="E1541" s="378" t="s">
        <v>26</v>
      </c>
      <c r="F1541" s="378" t="s">
        <v>26</v>
      </c>
      <c r="G1541" s="378" t="s">
        <v>26</v>
      </c>
      <c r="H1541" s="379" t="s">
        <v>130</v>
      </c>
    </row>
    <row r="1542" spans="1:8" ht="15.75">
      <c r="A1542" s="376" t="s">
        <v>735</v>
      </c>
      <c r="B1542" s="377" t="s">
        <v>131</v>
      </c>
      <c r="C1542" s="378" t="s">
        <v>26</v>
      </c>
      <c r="D1542" s="378" t="s">
        <v>26</v>
      </c>
      <c r="E1542" s="378" t="s">
        <v>26</v>
      </c>
      <c r="F1542" s="378" t="s">
        <v>26</v>
      </c>
      <c r="G1542" s="378" t="s">
        <v>26</v>
      </c>
      <c r="H1542" s="379" t="s">
        <v>130</v>
      </c>
    </row>
    <row r="1543" spans="1:8" ht="31.5">
      <c r="A1543" s="376" t="s">
        <v>737</v>
      </c>
      <c r="B1543" s="381" t="s">
        <v>132</v>
      </c>
      <c r="C1543" s="566" t="s">
        <v>88</v>
      </c>
      <c r="D1543" s="566" t="s">
        <v>89</v>
      </c>
      <c r="E1543" s="378" t="s">
        <v>26</v>
      </c>
      <c r="F1543" s="378" t="s">
        <v>26</v>
      </c>
      <c r="G1543" s="378" t="s">
        <v>26</v>
      </c>
      <c r="H1543" s="379" t="s">
        <v>130</v>
      </c>
    </row>
    <row r="1544" spans="1:8" ht="47.25">
      <c r="A1544" s="376" t="s">
        <v>739</v>
      </c>
      <c r="B1544" s="381" t="s">
        <v>133</v>
      </c>
      <c r="C1544" s="566" t="s">
        <v>90</v>
      </c>
      <c r="D1544" s="566" t="s">
        <v>91</v>
      </c>
      <c r="E1544" s="378" t="s">
        <v>26</v>
      </c>
      <c r="F1544" s="378" t="s">
        <v>26</v>
      </c>
      <c r="G1544" s="378" t="s">
        <v>26</v>
      </c>
      <c r="H1544" s="379" t="s">
        <v>130</v>
      </c>
    </row>
    <row r="1545" spans="1:8" ht="15.75">
      <c r="A1545" s="376" t="s">
        <v>852</v>
      </c>
      <c r="B1545" s="382" t="s">
        <v>134</v>
      </c>
      <c r="C1545" s="566" t="s">
        <v>92</v>
      </c>
      <c r="D1545" s="566" t="s">
        <v>93</v>
      </c>
      <c r="E1545" s="378" t="s">
        <v>26</v>
      </c>
      <c r="F1545" s="378" t="s">
        <v>26</v>
      </c>
      <c r="G1545" s="378" t="s">
        <v>26</v>
      </c>
      <c r="H1545" s="379" t="s">
        <v>130</v>
      </c>
    </row>
    <row r="1546" spans="1:8" ht="15.75">
      <c r="A1546" s="376" t="s">
        <v>853</v>
      </c>
      <c r="B1546" s="382" t="s">
        <v>135</v>
      </c>
      <c r="C1546" s="566" t="s">
        <v>88</v>
      </c>
      <c r="D1546" s="566" t="s">
        <v>234</v>
      </c>
      <c r="E1546" s="378" t="s">
        <v>26</v>
      </c>
      <c r="F1546" s="378" t="s">
        <v>26</v>
      </c>
      <c r="G1546" s="378" t="s">
        <v>26</v>
      </c>
      <c r="H1546" s="379" t="s">
        <v>130</v>
      </c>
    </row>
    <row r="1547" spans="1:8" ht="18.75" customHeight="1">
      <c r="A1547" s="376">
        <v>2</v>
      </c>
      <c r="B1547" s="579" t="s">
        <v>136</v>
      </c>
      <c r="C1547" s="579"/>
      <c r="D1547" s="579"/>
      <c r="E1547" s="579"/>
      <c r="F1547" s="579"/>
      <c r="G1547" s="579"/>
      <c r="H1547" s="579"/>
    </row>
    <row r="1548" spans="1:8" ht="31.5">
      <c r="A1548" s="376" t="s">
        <v>743</v>
      </c>
      <c r="B1548" s="381" t="s">
        <v>137</v>
      </c>
      <c r="C1548" s="378" t="s">
        <v>249</v>
      </c>
      <c r="D1548" s="378" t="s">
        <v>256</v>
      </c>
      <c r="E1548" s="378" t="s">
        <v>26</v>
      </c>
      <c r="F1548" s="378" t="s">
        <v>26</v>
      </c>
      <c r="G1548" s="383">
        <v>0</v>
      </c>
      <c r="H1548" s="379"/>
    </row>
    <row r="1549" spans="1:8" ht="47.25">
      <c r="A1549" s="376" t="s">
        <v>746</v>
      </c>
      <c r="B1549" s="381" t="s">
        <v>140</v>
      </c>
      <c r="C1549" s="378" t="s">
        <v>26</v>
      </c>
      <c r="D1549" s="378" t="s">
        <v>26</v>
      </c>
      <c r="E1549" s="378" t="s">
        <v>26</v>
      </c>
      <c r="F1549" s="378" t="s">
        <v>26</v>
      </c>
      <c r="G1549" s="378" t="s">
        <v>26</v>
      </c>
      <c r="H1549" s="379" t="s">
        <v>130</v>
      </c>
    </row>
    <row r="1550" spans="1:8" ht="31.5">
      <c r="A1550" s="376" t="s">
        <v>141</v>
      </c>
      <c r="B1550" s="381" t="s">
        <v>142</v>
      </c>
      <c r="C1550" s="378" t="s">
        <v>26</v>
      </c>
      <c r="D1550" s="378" t="s">
        <v>26</v>
      </c>
      <c r="E1550" s="378" t="s">
        <v>26</v>
      </c>
      <c r="F1550" s="378" t="s">
        <v>26</v>
      </c>
      <c r="G1550" s="378" t="s">
        <v>26</v>
      </c>
      <c r="H1550" s="379" t="s">
        <v>130</v>
      </c>
    </row>
    <row r="1551" spans="1:8" ht="18.75" customHeight="1">
      <c r="A1551" s="376">
        <v>3</v>
      </c>
      <c r="B1551" s="579" t="s">
        <v>184</v>
      </c>
      <c r="C1551" s="579"/>
      <c r="D1551" s="579"/>
      <c r="E1551" s="579"/>
      <c r="F1551" s="579"/>
      <c r="G1551" s="579"/>
      <c r="H1551" s="579"/>
    </row>
    <row r="1552" spans="1:8" ht="31.5">
      <c r="A1552" s="376" t="s">
        <v>756</v>
      </c>
      <c r="B1552" s="382" t="s">
        <v>144</v>
      </c>
      <c r="C1552" s="378" t="s">
        <v>26</v>
      </c>
      <c r="D1552" s="378" t="s">
        <v>26</v>
      </c>
      <c r="E1552" s="378" t="s">
        <v>26</v>
      </c>
      <c r="F1552" s="378" t="s">
        <v>26</v>
      </c>
      <c r="G1552" s="378" t="s">
        <v>26</v>
      </c>
      <c r="H1552" s="379" t="s">
        <v>130</v>
      </c>
    </row>
    <row r="1553" spans="1:8" ht="15.75">
      <c r="A1553" s="376" t="s">
        <v>757</v>
      </c>
      <c r="B1553" s="382" t="s">
        <v>145</v>
      </c>
      <c r="C1553" s="378" t="s">
        <v>249</v>
      </c>
      <c r="D1553" s="378" t="s">
        <v>251</v>
      </c>
      <c r="E1553" s="378" t="s">
        <v>26</v>
      </c>
      <c r="F1553" s="378" t="s">
        <v>26</v>
      </c>
      <c r="G1553" s="383">
        <v>0</v>
      </c>
      <c r="H1553" s="379"/>
    </row>
    <row r="1554" spans="1:8" ht="15.75">
      <c r="A1554" s="376" t="s">
        <v>147</v>
      </c>
      <c r="B1554" s="382" t="s">
        <v>148</v>
      </c>
      <c r="C1554" s="378" t="s">
        <v>245</v>
      </c>
      <c r="D1554" s="378" t="s">
        <v>257</v>
      </c>
      <c r="E1554" s="378" t="s">
        <v>26</v>
      </c>
      <c r="F1554" s="378" t="s">
        <v>26</v>
      </c>
      <c r="G1554" s="383">
        <v>0</v>
      </c>
      <c r="H1554" s="379"/>
    </row>
    <row r="1555" spans="1:8" ht="15.75">
      <c r="A1555" s="376" t="s">
        <v>151</v>
      </c>
      <c r="B1555" s="382" t="s">
        <v>152</v>
      </c>
      <c r="C1555" s="378" t="s">
        <v>258</v>
      </c>
      <c r="D1555" s="378" t="s">
        <v>259</v>
      </c>
      <c r="E1555" s="378" t="s">
        <v>26</v>
      </c>
      <c r="F1555" s="378" t="s">
        <v>26</v>
      </c>
      <c r="G1555" s="383">
        <v>0</v>
      </c>
      <c r="H1555" s="379"/>
    </row>
    <row r="1556" spans="1:8" ht="15.75">
      <c r="A1556" s="376" t="s">
        <v>155</v>
      </c>
      <c r="B1556" s="382" t="s">
        <v>156</v>
      </c>
      <c r="C1556" s="378" t="s">
        <v>260</v>
      </c>
      <c r="D1556" s="378" t="s">
        <v>256</v>
      </c>
      <c r="E1556" s="378" t="s">
        <v>26</v>
      </c>
      <c r="F1556" s="378" t="s">
        <v>26</v>
      </c>
      <c r="G1556" s="383">
        <v>0</v>
      </c>
      <c r="H1556" s="379"/>
    </row>
    <row r="1557" spans="1:8" ht="18.75" customHeight="1">
      <c r="A1557" s="376">
        <v>4</v>
      </c>
      <c r="B1557" s="579" t="s">
        <v>159</v>
      </c>
      <c r="C1557" s="579"/>
      <c r="D1557" s="579"/>
      <c r="E1557" s="579"/>
      <c r="F1557" s="579"/>
      <c r="G1557" s="579"/>
      <c r="H1557" s="579"/>
    </row>
    <row r="1558" spans="1:8" ht="31.5">
      <c r="A1558" s="376" t="s">
        <v>160</v>
      </c>
      <c r="B1558" s="381" t="s">
        <v>161</v>
      </c>
      <c r="C1558" s="378" t="s">
        <v>26</v>
      </c>
      <c r="D1558" s="378" t="s">
        <v>26</v>
      </c>
      <c r="E1558" s="378" t="s">
        <v>26</v>
      </c>
      <c r="F1558" s="378" t="s">
        <v>26</v>
      </c>
      <c r="G1558" s="378" t="s">
        <v>26</v>
      </c>
      <c r="H1558" s="379" t="s">
        <v>130</v>
      </c>
    </row>
    <row r="1559" spans="1:8" ht="47.25">
      <c r="A1559" s="376" t="s">
        <v>162</v>
      </c>
      <c r="B1559" s="381" t="s">
        <v>163</v>
      </c>
      <c r="C1559" s="378" t="s">
        <v>26</v>
      </c>
      <c r="D1559" s="378" t="s">
        <v>26</v>
      </c>
      <c r="E1559" s="378" t="s">
        <v>26</v>
      </c>
      <c r="F1559" s="378" t="s">
        <v>26</v>
      </c>
      <c r="G1559" s="378" t="s">
        <v>26</v>
      </c>
      <c r="H1559" s="379" t="s">
        <v>130</v>
      </c>
    </row>
    <row r="1560" spans="1:8" ht="31.5">
      <c r="A1560" s="376" t="s">
        <v>164</v>
      </c>
      <c r="B1560" s="382" t="s">
        <v>165</v>
      </c>
      <c r="C1560" s="378" t="s">
        <v>26</v>
      </c>
      <c r="D1560" s="378" t="s">
        <v>26</v>
      </c>
      <c r="E1560" s="378" t="s">
        <v>26</v>
      </c>
      <c r="F1560" s="378" t="s">
        <v>26</v>
      </c>
      <c r="G1560" s="378" t="s">
        <v>26</v>
      </c>
      <c r="H1560" s="379" t="s">
        <v>130</v>
      </c>
    </row>
    <row r="1561" spans="1:8" ht="31.5">
      <c r="A1561" s="384" t="s">
        <v>166</v>
      </c>
      <c r="B1561" s="385" t="s">
        <v>167</v>
      </c>
      <c r="C1561" s="386" t="s">
        <v>26</v>
      </c>
      <c r="D1561" s="386" t="s">
        <v>26</v>
      </c>
      <c r="E1561" s="386" t="s">
        <v>26</v>
      </c>
      <c r="F1561" s="386" t="s">
        <v>26</v>
      </c>
      <c r="G1561" s="386" t="s">
        <v>26</v>
      </c>
      <c r="H1561" s="387" t="s">
        <v>130</v>
      </c>
    </row>
    <row r="1562" spans="1:8" ht="15.75">
      <c r="A1562" s="388"/>
      <c r="B1562" s="389"/>
      <c r="C1562" s="390"/>
      <c r="D1562" s="390"/>
      <c r="E1562" s="390"/>
      <c r="F1562" s="390"/>
      <c r="G1562" s="390"/>
      <c r="H1562" s="98"/>
    </row>
    <row r="1563" spans="1:8" ht="18.75" customHeight="1">
      <c r="A1563" s="580" t="s">
        <v>168</v>
      </c>
      <c r="B1563" s="580"/>
      <c r="C1563" s="580"/>
      <c r="D1563" s="580"/>
      <c r="E1563" s="580"/>
      <c r="F1563" s="580"/>
      <c r="G1563" s="580"/>
      <c r="H1563" s="580"/>
    </row>
    <row r="1566" ht="15.75">
      <c r="H1566" s="6" t="s">
        <v>113</v>
      </c>
    </row>
    <row r="1567" ht="15.75">
      <c r="H1567" s="6" t="s">
        <v>114</v>
      </c>
    </row>
    <row r="1568" ht="15.75">
      <c r="H1568" s="6" t="s">
        <v>115</v>
      </c>
    </row>
    <row r="1569" ht="15.75">
      <c r="H1569" s="6"/>
    </row>
    <row r="1570" spans="1:8" ht="18.75" customHeight="1">
      <c r="A1570" s="622" t="s">
        <v>116</v>
      </c>
      <c r="B1570" s="622"/>
      <c r="C1570" s="622"/>
      <c r="D1570" s="622"/>
      <c r="E1570" s="622"/>
      <c r="F1570" s="622"/>
      <c r="G1570" s="622"/>
      <c r="H1570" s="622"/>
    </row>
    <row r="1571" spans="1:8" ht="18.75" customHeight="1">
      <c r="A1571" s="622" t="s">
        <v>117</v>
      </c>
      <c r="B1571" s="622"/>
      <c r="C1571" s="622"/>
      <c r="D1571" s="622"/>
      <c r="E1571" s="622"/>
      <c r="F1571" s="622"/>
      <c r="G1571" s="622"/>
      <c r="H1571" s="622"/>
    </row>
    <row r="1572" ht="15.75">
      <c r="H1572" s="6" t="s">
        <v>562</v>
      </c>
    </row>
    <row r="1573" ht="15.75">
      <c r="H1573" s="6" t="s">
        <v>769</v>
      </c>
    </row>
    <row r="1574" ht="15.75">
      <c r="H1574" s="6" t="s">
        <v>770</v>
      </c>
    </row>
    <row r="1575" ht="15.75">
      <c r="H1575" s="361" t="str">
        <f>H11</f>
        <v>                         Добровольский К.А.</v>
      </c>
    </row>
    <row r="1576" ht="15.75">
      <c r="H1576" s="6" t="s">
        <v>772</v>
      </c>
    </row>
    <row r="1577" ht="15.75">
      <c r="H1577" s="6" t="s">
        <v>567</v>
      </c>
    </row>
    <row r="1578" ht="15.75">
      <c r="A1578" s="362"/>
    </row>
    <row r="1579" ht="15.75">
      <c r="A1579" s="3" t="s">
        <v>262</v>
      </c>
    </row>
    <row r="1580" spans="1:8" ht="18.75" customHeight="1">
      <c r="A1580" s="623" t="s">
        <v>120</v>
      </c>
      <c r="B1580" s="623"/>
      <c r="C1580" s="623"/>
      <c r="D1580" s="623"/>
      <c r="E1580" s="623"/>
      <c r="F1580" s="623"/>
      <c r="G1580" s="623"/>
      <c r="H1580" s="623"/>
    </row>
    <row r="1581" spans="1:8" ht="15.75">
      <c r="A1581" s="364"/>
      <c r="B1581" s="364"/>
      <c r="C1581" s="366"/>
      <c r="D1581" s="366"/>
      <c r="E1581" s="366"/>
      <c r="F1581" s="366"/>
      <c r="G1581" s="366"/>
      <c r="H1581" s="366"/>
    </row>
    <row r="1582" spans="1:8" ht="16.5" customHeight="1">
      <c r="A1582" s="581" t="s">
        <v>121</v>
      </c>
      <c r="B1582" s="559" t="s">
        <v>122</v>
      </c>
      <c r="C1582" s="560" t="s">
        <v>123</v>
      </c>
      <c r="D1582" s="560"/>
      <c r="E1582" s="560"/>
      <c r="F1582" s="560"/>
      <c r="G1582" s="561" t="s">
        <v>124</v>
      </c>
      <c r="H1582" s="581" t="s">
        <v>125</v>
      </c>
    </row>
    <row r="1583" spans="1:8" ht="15.75">
      <c r="A1583" s="581"/>
      <c r="B1583" s="559"/>
      <c r="C1583" s="560"/>
      <c r="D1583" s="560"/>
      <c r="E1583" s="560"/>
      <c r="F1583" s="560"/>
      <c r="G1583" s="561"/>
      <c r="H1583" s="581"/>
    </row>
    <row r="1584" spans="1:8" ht="31.5">
      <c r="A1584" s="581"/>
      <c r="B1584" s="559"/>
      <c r="C1584" s="369" t="s">
        <v>126</v>
      </c>
      <c r="D1584" s="369" t="s">
        <v>127</v>
      </c>
      <c r="E1584" s="370" t="s">
        <v>126</v>
      </c>
      <c r="F1584" s="371" t="s">
        <v>127</v>
      </c>
      <c r="G1584" s="561"/>
      <c r="H1584" s="581"/>
    </row>
    <row r="1585" spans="1:8" ht="15.75">
      <c r="A1585" s="367">
        <v>1</v>
      </c>
      <c r="B1585" s="367">
        <v>2</v>
      </c>
      <c r="C1585" s="372">
        <v>3</v>
      </c>
      <c r="D1585" s="372">
        <v>4</v>
      </c>
      <c r="E1585" s="373"/>
      <c r="F1585" s="374"/>
      <c r="G1585" s="368">
        <v>5</v>
      </c>
      <c r="H1585" s="367">
        <v>6</v>
      </c>
    </row>
    <row r="1586" spans="1:8" ht="18.75" customHeight="1">
      <c r="A1586" s="375">
        <v>1</v>
      </c>
      <c r="B1586" s="582" t="s">
        <v>128</v>
      </c>
      <c r="C1586" s="582"/>
      <c r="D1586" s="582"/>
      <c r="E1586" s="582"/>
      <c r="F1586" s="582"/>
      <c r="G1586" s="582"/>
      <c r="H1586" s="582"/>
    </row>
    <row r="1587" spans="1:8" ht="15.75">
      <c r="A1587" s="376" t="s">
        <v>594</v>
      </c>
      <c r="B1587" s="377" t="s">
        <v>129</v>
      </c>
      <c r="C1587" s="378" t="s">
        <v>26</v>
      </c>
      <c r="D1587" s="378" t="s">
        <v>26</v>
      </c>
      <c r="E1587" s="378" t="s">
        <v>26</v>
      </c>
      <c r="F1587" s="378" t="s">
        <v>26</v>
      </c>
      <c r="G1587" s="378" t="s">
        <v>26</v>
      </c>
      <c r="H1587" s="379" t="s">
        <v>130</v>
      </c>
    </row>
    <row r="1588" spans="1:8" ht="15.75">
      <c r="A1588" s="376" t="s">
        <v>735</v>
      </c>
      <c r="B1588" s="377" t="s">
        <v>131</v>
      </c>
      <c r="C1588" s="378" t="s">
        <v>26</v>
      </c>
      <c r="D1588" s="378" t="s">
        <v>26</v>
      </c>
      <c r="E1588" s="378" t="s">
        <v>26</v>
      </c>
      <c r="F1588" s="378" t="s">
        <v>26</v>
      </c>
      <c r="G1588" s="378" t="s">
        <v>26</v>
      </c>
      <c r="H1588" s="379" t="s">
        <v>130</v>
      </c>
    </row>
    <row r="1589" spans="1:8" ht="31.5">
      <c r="A1589" s="376" t="s">
        <v>737</v>
      </c>
      <c r="B1589" s="381" t="s">
        <v>132</v>
      </c>
      <c r="C1589" s="566" t="s">
        <v>88</v>
      </c>
      <c r="D1589" s="566" t="s">
        <v>89</v>
      </c>
      <c r="E1589" s="378" t="s">
        <v>26</v>
      </c>
      <c r="F1589" s="378" t="s">
        <v>26</v>
      </c>
      <c r="G1589" s="378" t="s">
        <v>26</v>
      </c>
      <c r="H1589" s="379" t="s">
        <v>130</v>
      </c>
    </row>
    <row r="1590" spans="1:8" ht="47.25">
      <c r="A1590" s="376" t="s">
        <v>739</v>
      </c>
      <c r="B1590" s="381" t="s">
        <v>133</v>
      </c>
      <c r="C1590" s="566" t="s">
        <v>90</v>
      </c>
      <c r="D1590" s="566" t="s">
        <v>91</v>
      </c>
      <c r="E1590" s="378" t="s">
        <v>26</v>
      </c>
      <c r="F1590" s="378" t="s">
        <v>26</v>
      </c>
      <c r="G1590" s="378" t="s">
        <v>26</v>
      </c>
      <c r="H1590" s="379" t="s">
        <v>130</v>
      </c>
    </row>
    <row r="1591" spans="1:8" ht="15.75">
      <c r="A1591" s="376" t="s">
        <v>852</v>
      </c>
      <c r="B1591" s="382" t="s">
        <v>134</v>
      </c>
      <c r="C1591" s="566" t="s">
        <v>92</v>
      </c>
      <c r="D1591" s="566" t="s">
        <v>93</v>
      </c>
      <c r="E1591" s="378" t="s">
        <v>26</v>
      </c>
      <c r="F1591" s="378" t="s">
        <v>26</v>
      </c>
      <c r="G1591" s="378" t="s">
        <v>26</v>
      </c>
      <c r="H1591" s="379" t="s">
        <v>130</v>
      </c>
    </row>
    <row r="1592" spans="1:8" ht="15.75">
      <c r="A1592" s="376" t="s">
        <v>853</v>
      </c>
      <c r="B1592" s="382" t="s">
        <v>135</v>
      </c>
      <c r="C1592" s="566" t="s">
        <v>88</v>
      </c>
      <c r="D1592" s="566" t="s">
        <v>234</v>
      </c>
      <c r="E1592" s="378" t="s">
        <v>26</v>
      </c>
      <c r="F1592" s="378" t="s">
        <v>26</v>
      </c>
      <c r="G1592" s="378" t="s">
        <v>26</v>
      </c>
      <c r="H1592" s="379" t="s">
        <v>130</v>
      </c>
    </row>
    <row r="1593" spans="1:8" ht="18.75" customHeight="1">
      <c r="A1593" s="376">
        <v>2</v>
      </c>
      <c r="B1593" s="579" t="s">
        <v>136</v>
      </c>
      <c r="C1593" s="579"/>
      <c r="D1593" s="579"/>
      <c r="E1593" s="579"/>
      <c r="F1593" s="579"/>
      <c r="G1593" s="579"/>
      <c r="H1593" s="579"/>
    </row>
    <row r="1594" spans="1:8" ht="31.5">
      <c r="A1594" s="376" t="s">
        <v>743</v>
      </c>
      <c r="B1594" s="381" t="s">
        <v>137</v>
      </c>
      <c r="C1594" s="378" t="s">
        <v>249</v>
      </c>
      <c r="D1594" s="378" t="s">
        <v>256</v>
      </c>
      <c r="E1594" s="378" t="s">
        <v>26</v>
      </c>
      <c r="F1594" s="378" t="s">
        <v>26</v>
      </c>
      <c r="G1594" s="383">
        <v>0</v>
      </c>
      <c r="H1594" s="379"/>
    </row>
    <row r="1595" spans="1:8" ht="47.25">
      <c r="A1595" s="376" t="s">
        <v>746</v>
      </c>
      <c r="B1595" s="381" t="s">
        <v>140</v>
      </c>
      <c r="C1595" s="378" t="s">
        <v>26</v>
      </c>
      <c r="D1595" s="378" t="s">
        <v>26</v>
      </c>
      <c r="E1595" s="378" t="s">
        <v>26</v>
      </c>
      <c r="F1595" s="378" t="s">
        <v>26</v>
      </c>
      <c r="G1595" s="378" t="s">
        <v>26</v>
      </c>
      <c r="H1595" s="379" t="s">
        <v>130</v>
      </c>
    </row>
    <row r="1596" spans="1:8" ht="31.5">
      <c r="A1596" s="376" t="s">
        <v>141</v>
      </c>
      <c r="B1596" s="381" t="s">
        <v>142</v>
      </c>
      <c r="C1596" s="378" t="s">
        <v>26</v>
      </c>
      <c r="D1596" s="378" t="s">
        <v>26</v>
      </c>
      <c r="E1596" s="378" t="s">
        <v>26</v>
      </c>
      <c r="F1596" s="378" t="s">
        <v>26</v>
      </c>
      <c r="G1596" s="378" t="s">
        <v>26</v>
      </c>
      <c r="H1596" s="379" t="s">
        <v>130</v>
      </c>
    </row>
    <row r="1597" spans="1:8" ht="18.75" customHeight="1">
      <c r="A1597" s="376">
        <v>3</v>
      </c>
      <c r="B1597" s="579" t="s">
        <v>184</v>
      </c>
      <c r="C1597" s="579"/>
      <c r="D1597" s="579"/>
      <c r="E1597" s="579"/>
      <c r="F1597" s="579"/>
      <c r="G1597" s="579"/>
      <c r="H1597" s="579"/>
    </row>
    <row r="1598" spans="1:8" ht="31.5">
      <c r="A1598" s="376" t="s">
        <v>756</v>
      </c>
      <c r="B1598" s="382" t="s">
        <v>144</v>
      </c>
      <c r="C1598" s="378" t="s">
        <v>26</v>
      </c>
      <c r="D1598" s="378" t="s">
        <v>26</v>
      </c>
      <c r="E1598" s="378" t="s">
        <v>26</v>
      </c>
      <c r="F1598" s="378" t="s">
        <v>26</v>
      </c>
      <c r="G1598" s="378" t="s">
        <v>26</v>
      </c>
      <c r="H1598" s="379" t="s">
        <v>130</v>
      </c>
    </row>
    <row r="1599" spans="1:8" ht="15.75">
      <c r="A1599" s="376" t="s">
        <v>757</v>
      </c>
      <c r="B1599" s="382" t="s">
        <v>145</v>
      </c>
      <c r="C1599" s="378" t="s">
        <v>249</v>
      </c>
      <c r="D1599" s="378" t="s">
        <v>251</v>
      </c>
      <c r="E1599" s="378" t="s">
        <v>26</v>
      </c>
      <c r="F1599" s="378" t="s">
        <v>26</v>
      </c>
      <c r="G1599" s="383">
        <v>0</v>
      </c>
      <c r="H1599" s="379"/>
    </row>
    <row r="1600" spans="1:8" ht="15.75">
      <c r="A1600" s="376" t="s">
        <v>147</v>
      </c>
      <c r="B1600" s="382" t="s">
        <v>148</v>
      </c>
      <c r="C1600" s="378" t="s">
        <v>245</v>
      </c>
      <c r="D1600" s="378" t="s">
        <v>257</v>
      </c>
      <c r="E1600" s="378" t="s">
        <v>26</v>
      </c>
      <c r="F1600" s="378" t="s">
        <v>26</v>
      </c>
      <c r="G1600" s="383">
        <v>0</v>
      </c>
      <c r="H1600" s="379"/>
    </row>
    <row r="1601" spans="1:8" ht="15.75">
      <c r="A1601" s="376" t="s">
        <v>151</v>
      </c>
      <c r="B1601" s="382" t="s">
        <v>152</v>
      </c>
      <c r="C1601" s="378" t="s">
        <v>258</v>
      </c>
      <c r="D1601" s="378" t="s">
        <v>259</v>
      </c>
      <c r="E1601" s="378" t="s">
        <v>26</v>
      </c>
      <c r="F1601" s="378" t="s">
        <v>26</v>
      </c>
      <c r="G1601" s="383">
        <v>0</v>
      </c>
      <c r="H1601" s="379"/>
    </row>
    <row r="1602" spans="1:8" ht="15.75">
      <c r="A1602" s="376" t="s">
        <v>155</v>
      </c>
      <c r="B1602" s="382" t="s">
        <v>156</v>
      </c>
      <c r="C1602" s="378" t="s">
        <v>260</v>
      </c>
      <c r="D1602" s="378" t="s">
        <v>256</v>
      </c>
      <c r="E1602" s="378" t="s">
        <v>26</v>
      </c>
      <c r="F1602" s="378" t="s">
        <v>26</v>
      </c>
      <c r="G1602" s="383">
        <v>0</v>
      </c>
      <c r="H1602" s="379"/>
    </row>
    <row r="1603" spans="1:8" ht="18.75" customHeight="1">
      <c r="A1603" s="376">
        <v>4</v>
      </c>
      <c r="B1603" s="579" t="s">
        <v>159</v>
      </c>
      <c r="C1603" s="579"/>
      <c r="D1603" s="579"/>
      <c r="E1603" s="579"/>
      <c r="F1603" s="579"/>
      <c r="G1603" s="579"/>
      <c r="H1603" s="579"/>
    </row>
    <row r="1604" spans="1:8" ht="31.5">
      <c r="A1604" s="376" t="s">
        <v>160</v>
      </c>
      <c r="B1604" s="381" t="s">
        <v>161</v>
      </c>
      <c r="C1604" s="378" t="s">
        <v>26</v>
      </c>
      <c r="D1604" s="378" t="s">
        <v>26</v>
      </c>
      <c r="E1604" s="378" t="s">
        <v>26</v>
      </c>
      <c r="F1604" s="378" t="s">
        <v>26</v>
      </c>
      <c r="G1604" s="378" t="s">
        <v>26</v>
      </c>
      <c r="H1604" s="379" t="s">
        <v>130</v>
      </c>
    </row>
    <row r="1605" spans="1:8" ht="47.25">
      <c r="A1605" s="376" t="s">
        <v>162</v>
      </c>
      <c r="B1605" s="381" t="s">
        <v>163</v>
      </c>
      <c r="C1605" s="378" t="s">
        <v>26</v>
      </c>
      <c r="D1605" s="378" t="s">
        <v>26</v>
      </c>
      <c r="E1605" s="378" t="s">
        <v>26</v>
      </c>
      <c r="F1605" s="378" t="s">
        <v>26</v>
      </c>
      <c r="G1605" s="378" t="s">
        <v>26</v>
      </c>
      <c r="H1605" s="379" t="s">
        <v>130</v>
      </c>
    </row>
    <row r="1606" spans="1:8" ht="31.5">
      <c r="A1606" s="376" t="s">
        <v>164</v>
      </c>
      <c r="B1606" s="382" t="s">
        <v>165</v>
      </c>
      <c r="C1606" s="378" t="s">
        <v>26</v>
      </c>
      <c r="D1606" s="378" t="s">
        <v>26</v>
      </c>
      <c r="E1606" s="378" t="s">
        <v>26</v>
      </c>
      <c r="F1606" s="378" t="s">
        <v>26</v>
      </c>
      <c r="G1606" s="378" t="s">
        <v>26</v>
      </c>
      <c r="H1606" s="379" t="s">
        <v>130</v>
      </c>
    </row>
    <row r="1607" spans="1:8" ht="31.5">
      <c r="A1607" s="384" t="s">
        <v>166</v>
      </c>
      <c r="B1607" s="385" t="s">
        <v>167</v>
      </c>
      <c r="C1607" s="386" t="s">
        <v>26</v>
      </c>
      <c r="D1607" s="386" t="s">
        <v>26</v>
      </c>
      <c r="E1607" s="386" t="s">
        <v>26</v>
      </c>
      <c r="F1607" s="386" t="s">
        <v>26</v>
      </c>
      <c r="G1607" s="386" t="s">
        <v>26</v>
      </c>
      <c r="H1607" s="387" t="s">
        <v>130</v>
      </c>
    </row>
    <row r="1608" spans="1:8" ht="15.75">
      <c r="A1608" s="388"/>
      <c r="B1608" s="389"/>
      <c r="C1608" s="390"/>
      <c r="D1608" s="390"/>
      <c r="E1608" s="390"/>
      <c r="F1608" s="390"/>
      <c r="G1608" s="390"/>
      <c r="H1608" s="98"/>
    </row>
    <row r="1609" spans="1:8" ht="18.75" customHeight="1">
      <c r="A1609" s="580" t="s">
        <v>168</v>
      </c>
      <c r="B1609" s="580"/>
      <c r="C1609" s="580"/>
      <c r="D1609" s="580"/>
      <c r="E1609" s="580"/>
      <c r="F1609" s="580"/>
      <c r="G1609" s="580"/>
      <c r="H1609" s="580"/>
    </row>
    <row r="1612" ht="15.75">
      <c r="H1612" s="6" t="s">
        <v>113</v>
      </c>
    </row>
    <row r="1613" ht="15.75">
      <c r="H1613" s="6" t="s">
        <v>114</v>
      </c>
    </row>
    <row r="1614" ht="15.75">
      <c r="H1614" s="6" t="s">
        <v>115</v>
      </c>
    </row>
    <row r="1615" ht="15.75">
      <c r="H1615" s="6"/>
    </row>
    <row r="1616" spans="1:8" ht="18.75" customHeight="1">
      <c r="A1616" s="622" t="s">
        <v>116</v>
      </c>
      <c r="B1616" s="622"/>
      <c r="C1616" s="622"/>
      <c r="D1616" s="622"/>
      <c r="E1616" s="622"/>
      <c r="F1616" s="622"/>
      <c r="G1616" s="622"/>
      <c r="H1616" s="622"/>
    </row>
    <row r="1617" spans="1:8" ht="18.75" customHeight="1">
      <c r="A1617" s="622" t="s">
        <v>117</v>
      </c>
      <c r="B1617" s="622"/>
      <c r="C1617" s="622"/>
      <c r="D1617" s="622"/>
      <c r="E1617" s="622"/>
      <c r="F1617" s="622"/>
      <c r="G1617" s="622"/>
      <c r="H1617" s="622"/>
    </row>
    <row r="1618" ht="15.75">
      <c r="H1618" s="6" t="s">
        <v>562</v>
      </c>
    </row>
    <row r="1619" ht="15.75">
      <c r="H1619" s="6" t="s">
        <v>769</v>
      </c>
    </row>
    <row r="1620" ht="15.75">
      <c r="H1620" s="6" t="s">
        <v>770</v>
      </c>
    </row>
    <row r="1621" ht="15.75">
      <c r="H1621" s="361" t="str">
        <f>H11</f>
        <v>                         Добровольский К.А.</v>
      </c>
    </row>
    <row r="1622" ht="15.75">
      <c r="H1622" s="6" t="s">
        <v>772</v>
      </c>
    </row>
    <row r="1623" ht="15.75">
      <c r="H1623" s="6" t="s">
        <v>567</v>
      </c>
    </row>
    <row r="1624" ht="15.75">
      <c r="A1624" s="362"/>
    </row>
    <row r="1625" ht="15.75">
      <c r="A1625" s="3" t="s">
        <v>263</v>
      </c>
    </row>
    <row r="1626" spans="1:8" ht="18.75" customHeight="1">
      <c r="A1626" s="623" t="s">
        <v>120</v>
      </c>
      <c r="B1626" s="623"/>
      <c r="C1626" s="623"/>
      <c r="D1626" s="623"/>
      <c r="E1626" s="623"/>
      <c r="F1626" s="623"/>
      <c r="G1626" s="623"/>
      <c r="H1626" s="623"/>
    </row>
    <row r="1627" spans="1:8" ht="15.75">
      <c r="A1627" s="364"/>
      <c r="B1627" s="364"/>
      <c r="C1627" s="366"/>
      <c r="D1627" s="366"/>
      <c r="E1627" s="366"/>
      <c r="F1627" s="366"/>
      <c r="G1627" s="366"/>
      <c r="H1627" s="366"/>
    </row>
    <row r="1628" spans="1:8" ht="16.5" customHeight="1">
      <c r="A1628" s="581" t="s">
        <v>121</v>
      </c>
      <c r="B1628" s="559" t="s">
        <v>122</v>
      </c>
      <c r="C1628" s="560" t="s">
        <v>123</v>
      </c>
      <c r="D1628" s="560"/>
      <c r="E1628" s="560"/>
      <c r="F1628" s="560"/>
      <c r="G1628" s="561" t="s">
        <v>124</v>
      </c>
      <c r="H1628" s="581" t="s">
        <v>125</v>
      </c>
    </row>
    <row r="1629" spans="1:8" ht="15.75">
      <c r="A1629" s="581"/>
      <c r="B1629" s="559"/>
      <c r="C1629" s="560"/>
      <c r="D1629" s="560"/>
      <c r="E1629" s="560"/>
      <c r="F1629" s="560"/>
      <c r="G1629" s="561"/>
      <c r="H1629" s="581"/>
    </row>
    <row r="1630" spans="1:8" ht="31.5">
      <c r="A1630" s="581"/>
      <c r="B1630" s="559"/>
      <c r="C1630" s="369" t="s">
        <v>126</v>
      </c>
      <c r="D1630" s="369" t="s">
        <v>127</v>
      </c>
      <c r="E1630" s="370" t="s">
        <v>126</v>
      </c>
      <c r="F1630" s="371" t="s">
        <v>127</v>
      </c>
      <c r="G1630" s="561"/>
      <c r="H1630" s="581"/>
    </row>
    <row r="1631" spans="1:8" ht="15.75">
      <c r="A1631" s="367">
        <v>1</v>
      </c>
      <c r="B1631" s="367">
        <v>2</v>
      </c>
      <c r="C1631" s="372">
        <v>3</v>
      </c>
      <c r="D1631" s="372">
        <v>4</v>
      </c>
      <c r="E1631" s="373"/>
      <c r="F1631" s="374"/>
      <c r="G1631" s="368">
        <v>5</v>
      </c>
      <c r="H1631" s="367">
        <v>6</v>
      </c>
    </row>
    <row r="1632" spans="1:8" ht="18.75" customHeight="1">
      <c r="A1632" s="375">
        <v>1</v>
      </c>
      <c r="B1632" s="582" t="s">
        <v>128</v>
      </c>
      <c r="C1632" s="582"/>
      <c r="D1632" s="582"/>
      <c r="E1632" s="582"/>
      <c r="F1632" s="582"/>
      <c r="G1632" s="582"/>
      <c r="H1632" s="582"/>
    </row>
    <row r="1633" spans="1:8" ht="15.75">
      <c r="A1633" s="376" t="s">
        <v>594</v>
      </c>
      <c r="B1633" s="377" t="s">
        <v>129</v>
      </c>
      <c r="C1633" s="378" t="s">
        <v>26</v>
      </c>
      <c r="D1633" s="378" t="s">
        <v>26</v>
      </c>
      <c r="E1633" s="378" t="s">
        <v>26</v>
      </c>
      <c r="F1633" s="378" t="s">
        <v>26</v>
      </c>
      <c r="G1633" s="378" t="s">
        <v>26</v>
      </c>
      <c r="H1633" s="379" t="s">
        <v>130</v>
      </c>
    </row>
    <row r="1634" spans="1:8" ht="15.75">
      <c r="A1634" s="376" t="s">
        <v>735</v>
      </c>
      <c r="B1634" s="377" t="s">
        <v>131</v>
      </c>
      <c r="C1634" s="378" t="s">
        <v>26</v>
      </c>
      <c r="D1634" s="378" t="s">
        <v>26</v>
      </c>
      <c r="E1634" s="378" t="s">
        <v>26</v>
      </c>
      <c r="F1634" s="378" t="s">
        <v>26</v>
      </c>
      <c r="G1634" s="378" t="s">
        <v>26</v>
      </c>
      <c r="H1634" s="379" t="s">
        <v>130</v>
      </c>
    </row>
    <row r="1635" spans="1:8" ht="31.5">
      <c r="A1635" s="376" t="s">
        <v>737</v>
      </c>
      <c r="B1635" s="381" t="s">
        <v>132</v>
      </c>
      <c r="C1635" s="566" t="s">
        <v>88</v>
      </c>
      <c r="D1635" s="566" t="s">
        <v>89</v>
      </c>
      <c r="E1635" s="378" t="s">
        <v>26</v>
      </c>
      <c r="F1635" s="378" t="s">
        <v>26</v>
      </c>
      <c r="G1635" s="378" t="s">
        <v>26</v>
      </c>
      <c r="H1635" s="379" t="s">
        <v>130</v>
      </c>
    </row>
    <row r="1636" spans="1:8" ht="47.25">
      <c r="A1636" s="376" t="s">
        <v>739</v>
      </c>
      <c r="B1636" s="381" t="s">
        <v>133</v>
      </c>
      <c r="C1636" s="566" t="s">
        <v>90</v>
      </c>
      <c r="D1636" s="566" t="s">
        <v>91</v>
      </c>
      <c r="E1636" s="378" t="s">
        <v>26</v>
      </c>
      <c r="F1636" s="378" t="s">
        <v>26</v>
      </c>
      <c r="G1636" s="378" t="s">
        <v>26</v>
      </c>
      <c r="H1636" s="379" t="s">
        <v>130</v>
      </c>
    </row>
    <row r="1637" spans="1:8" ht="15.75">
      <c r="A1637" s="376" t="s">
        <v>852</v>
      </c>
      <c r="B1637" s="382" t="s">
        <v>134</v>
      </c>
      <c r="C1637" s="566" t="s">
        <v>92</v>
      </c>
      <c r="D1637" s="566" t="s">
        <v>93</v>
      </c>
      <c r="E1637" s="378" t="s">
        <v>26</v>
      </c>
      <c r="F1637" s="378" t="s">
        <v>26</v>
      </c>
      <c r="G1637" s="378" t="s">
        <v>26</v>
      </c>
      <c r="H1637" s="379" t="s">
        <v>130</v>
      </c>
    </row>
    <row r="1638" spans="1:8" ht="15.75">
      <c r="A1638" s="376" t="s">
        <v>853</v>
      </c>
      <c r="B1638" s="382" t="s">
        <v>135</v>
      </c>
      <c r="C1638" s="566" t="s">
        <v>88</v>
      </c>
      <c r="D1638" s="566" t="s">
        <v>234</v>
      </c>
      <c r="E1638" s="378" t="s">
        <v>26</v>
      </c>
      <c r="F1638" s="378" t="s">
        <v>26</v>
      </c>
      <c r="G1638" s="378" t="s">
        <v>26</v>
      </c>
      <c r="H1638" s="379" t="s">
        <v>130</v>
      </c>
    </row>
    <row r="1639" spans="1:8" ht="18.75" customHeight="1">
      <c r="A1639" s="376">
        <v>2</v>
      </c>
      <c r="B1639" s="579" t="s">
        <v>136</v>
      </c>
      <c r="C1639" s="579"/>
      <c r="D1639" s="579"/>
      <c r="E1639" s="579"/>
      <c r="F1639" s="579"/>
      <c r="G1639" s="579"/>
      <c r="H1639" s="579"/>
    </row>
    <row r="1640" spans="1:8" ht="31.5">
      <c r="A1640" s="376" t="s">
        <v>743</v>
      </c>
      <c r="B1640" s="381" t="s">
        <v>137</v>
      </c>
      <c r="C1640" s="378" t="s">
        <v>249</v>
      </c>
      <c r="D1640" s="378" t="s">
        <v>256</v>
      </c>
      <c r="E1640" s="378" t="s">
        <v>26</v>
      </c>
      <c r="F1640" s="378" t="s">
        <v>26</v>
      </c>
      <c r="G1640" s="383">
        <v>0</v>
      </c>
      <c r="H1640" s="379"/>
    </row>
    <row r="1641" spans="1:8" ht="47.25">
      <c r="A1641" s="376" t="s">
        <v>746</v>
      </c>
      <c r="B1641" s="381" t="s">
        <v>140</v>
      </c>
      <c r="C1641" s="378" t="s">
        <v>26</v>
      </c>
      <c r="D1641" s="378" t="s">
        <v>26</v>
      </c>
      <c r="E1641" s="378" t="s">
        <v>26</v>
      </c>
      <c r="F1641" s="378" t="s">
        <v>26</v>
      </c>
      <c r="G1641" s="378" t="s">
        <v>26</v>
      </c>
      <c r="H1641" s="379" t="s">
        <v>130</v>
      </c>
    </row>
    <row r="1642" spans="1:8" ht="31.5">
      <c r="A1642" s="376" t="s">
        <v>141</v>
      </c>
      <c r="B1642" s="381" t="s">
        <v>142</v>
      </c>
      <c r="C1642" s="378" t="s">
        <v>26</v>
      </c>
      <c r="D1642" s="378" t="s">
        <v>26</v>
      </c>
      <c r="E1642" s="378" t="s">
        <v>26</v>
      </c>
      <c r="F1642" s="378" t="s">
        <v>26</v>
      </c>
      <c r="G1642" s="378" t="s">
        <v>26</v>
      </c>
      <c r="H1642" s="379" t="s">
        <v>130</v>
      </c>
    </row>
    <row r="1643" spans="1:8" ht="18.75" customHeight="1">
      <c r="A1643" s="376">
        <v>3</v>
      </c>
      <c r="B1643" s="579" t="s">
        <v>184</v>
      </c>
      <c r="C1643" s="579"/>
      <c r="D1643" s="579"/>
      <c r="E1643" s="579"/>
      <c r="F1643" s="579"/>
      <c r="G1643" s="579"/>
      <c r="H1643" s="579"/>
    </row>
    <row r="1644" spans="1:8" ht="31.5">
      <c r="A1644" s="376" t="s">
        <v>756</v>
      </c>
      <c r="B1644" s="382" t="s">
        <v>144</v>
      </c>
      <c r="C1644" s="378" t="s">
        <v>26</v>
      </c>
      <c r="D1644" s="378" t="s">
        <v>26</v>
      </c>
      <c r="E1644" s="378" t="s">
        <v>26</v>
      </c>
      <c r="F1644" s="378" t="s">
        <v>26</v>
      </c>
      <c r="G1644" s="378" t="s">
        <v>26</v>
      </c>
      <c r="H1644" s="379" t="s">
        <v>130</v>
      </c>
    </row>
    <row r="1645" spans="1:8" ht="15.75">
      <c r="A1645" s="376" t="s">
        <v>757</v>
      </c>
      <c r="B1645" s="382" t="s">
        <v>145</v>
      </c>
      <c r="C1645" s="378" t="s">
        <v>249</v>
      </c>
      <c r="D1645" s="378" t="s">
        <v>251</v>
      </c>
      <c r="E1645" s="378" t="s">
        <v>26</v>
      </c>
      <c r="F1645" s="378" t="s">
        <v>26</v>
      </c>
      <c r="G1645" s="383">
        <v>0</v>
      </c>
      <c r="H1645" s="379"/>
    </row>
    <row r="1646" spans="1:8" ht="15.75">
      <c r="A1646" s="376" t="s">
        <v>147</v>
      </c>
      <c r="B1646" s="382" t="s">
        <v>148</v>
      </c>
      <c r="C1646" s="378" t="s">
        <v>245</v>
      </c>
      <c r="D1646" s="378" t="s">
        <v>257</v>
      </c>
      <c r="E1646" s="378" t="s">
        <v>26</v>
      </c>
      <c r="F1646" s="378" t="s">
        <v>26</v>
      </c>
      <c r="G1646" s="383">
        <v>0</v>
      </c>
      <c r="H1646" s="379"/>
    </row>
    <row r="1647" spans="1:8" ht="15.75">
      <c r="A1647" s="376" t="s">
        <v>151</v>
      </c>
      <c r="B1647" s="382" t="s">
        <v>152</v>
      </c>
      <c r="C1647" s="378" t="s">
        <v>258</v>
      </c>
      <c r="D1647" s="378" t="s">
        <v>259</v>
      </c>
      <c r="E1647" s="378" t="s">
        <v>26</v>
      </c>
      <c r="F1647" s="378" t="s">
        <v>26</v>
      </c>
      <c r="G1647" s="383">
        <v>0</v>
      </c>
      <c r="H1647" s="379"/>
    </row>
    <row r="1648" spans="1:8" ht="15.75">
      <c r="A1648" s="376" t="s">
        <v>155</v>
      </c>
      <c r="B1648" s="382" t="s">
        <v>156</v>
      </c>
      <c r="C1648" s="378" t="s">
        <v>260</v>
      </c>
      <c r="D1648" s="378" t="s">
        <v>256</v>
      </c>
      <c r="E1648" s="378" t="s">
        <v>26</v>
      </c>
      <c r="F1648" s="378" t="s">
        <v>26</v>
      </c>
      <c r="G1648" s="383">
        <v>0</v>
      </c>
      <c r="H1648" s="379"/>
    </row>
    <row r="1649" spans="1:8" ht="18.75" customHeight="1">
      <c r="A1649" s="376">
        <v>4</v>
      </c>
      <c r="B1649" s="579" t="s">
        <v>159</v>
      </c>
      <c r="C1649" s="579"/>
      <c r="D1649" s="579"/>
      <c r="E1649" s="579"/>
      <c r="F1649" s="579"/>
      <c r="G1649" s="579"/>
      <c r="H1649" s="579"/>
    </row>
    <row r="1650" spans="1:8" ht="31.5">
      <c r="A1650" s="376" t="s">
        <v>160</v>
      </c>
      <c r="B1650" s="381" t="s">
        <v>161</v>
      </c>
      <c r="C1650" s="378" t="s">
        <v>26</v>
      </c>
      <c r="D1650" s="378" t="s">
        <v>26</v>
      </c>
      <c r="E1650" s="378" t="s">
        <v>26</v>
      </c>
      <c r="F1650" s="378" t="s">
        <v>26</v>
      </c>
      <c r="G1650" s="378" t="s">
        <v>26</v>
      </c>
      <c r="H1650" s="379" t="s">
        <v>130</v>
      </c>
    </row>
    <row r="1651" spans="1:8" ht="47.25">
      <c r="A1651" s="376" t="s">
        <v>162</v>
      </c>
      <c r="B1651" s="381" t="s">
        <v>163</v>
      </c>
      <c r="C1651" s="378" t="s">
        <v>26</v>
      </c>
      <c r="D1651" s="378" t="s">
        <v>26</v>
      </c>
      <c r="E1651" s="378" t="s">
        <v>26</v>
      </c>
      <c r="F1651" s="378" t="s">
        <v>26</v>
      </c>
      <c r="G1651" s="378" t="s">
        <v>26</v>
      </c>
      <c r="H1651" s="379" t="s">
        <v>130</v>
      </c>
    </row>
    <row r="1652" spans="1:8" ht="31.5">
      <c r="A1652" s="376" t="s">
        <v>164</v>
      </c>
      <c r="B1652" s="382" t="s">
        <v>165</v>
      </c>
      <c r="C1652" s="378" t="s">
        <v>26</v>
      </c>
      <c r="D1652" s="378" t="s">
        <v>26</v>
      </c>
      <c r="E1652" s="378" t="s">
        <v>26</v>
      </c>
      <c r="F1652" s="378" t="s">
        <v>26</v>
      </c>
      <c r="G1652" s="378" t="s">
        <v>26</v>
      </c>
      <c r="H1652" s="379" t="s">
        <v>130</v>
      </c>
    </row>
    <row r="1653" spans="1:8" ht="31.5">
      <c r="A1653" s="384" t="s">
        <v>166</v>
      </c>
      <c r="B1653" s="385" t="s">
        <v>167</v>
      </c>
      <c r="C1653" s="386" t="s">
        <v>26</v>
      </c>
      <c r="D1653" s="386" t="s">
        <v>26</v>
      </c>
      <c r="E1653" s="386" t="s">
        <v>26</v>
      </c>
      <c r="F1653" s="386" t="s">
        <v>26</v>
      </c>
      <c r="G1653" s="386" t="s">
        <v>26</v>
      </c>
      <c r="H1653" s="387" t="s">
        <v>130</v>
      </c>
    </row>
    <row r="1654" spans="1:8" ht="15.75">
      <c r="A1654" s="388"/>
      <c r="B1654" s="389"/>
      <c r="C1654" s="390"/>
      <c r="D1654" s="390"/>
      <c r="E1654" s="390"/>
      <c r="F1654" s="390"/>
      <c r="G1654" s="390"/>
      <c r="H1654" s="98"/>
    </row>
    <row r="1655" spans="1:8" ht="18.75" customHeight="1">
      <c r="A1655" s="580" t="s">
        <v>168</v>
      </c>
      <c r="B1655" s="580"/>
      <c r="C1655" s="580"/>
      <c r="D1655" s="580"/>
      <c r="E1655" s="580"/>
      <c r="F1655" s="580"/>
      <c r="G1655" s="580"/>
      <c r="H1655" s="580"/>
    </row>
    <row r="1658" ht="15.75">
      <c r="H1658" s="6" t="s">
        <v>113</v>
      </c>
    </row>
    <row r="1659" ht="15.75">
      <c r="H1659" s="6" t="s">
        <v>114</v>
      </c>
    </row>
    <row r="1660" ht="15.75">
      <c r="H1660" s="6" t="s">
        <v>115</v>
      </c>
    </row>
    <row r="1661" ht="15.75">
      <c r="H1661" s="6"/>
    </row>
    <row r="1662" spans="1:8" ht="18.75" customHeight="1">
      <c r="A1662" s="622" t="s">
        <v>116</v>
      </c>
      <c r="B1662" s="622"/>
      <c r="C1662" s="622"/>
      <c r="D1662" s="622"/>
      <c r="E1662" s="622"/>
      <c r="F1662" s="622"/>
      <c r="G1662" s="622"/>
      <c r="H1662" s="622"/>
    </row>
    <row r="1663" spans="1:8" ht="18.75" customHeight="1">
      <c r="A1663" s="622" t="s">
        <v>117</v>
      </c>
      <c r="B1663" s="622"/>
      <c r="C1663" s="622"/>
      <c r="D1663" s="622"/>
      <c r="E1663" s="622"/>
      <c r="F1663" s="622"/>
      <c r="G1663" s="622"/>
      <c r="H1663" s="622"/>
    </row>
    <row r="1664" ht="15.75">
      <c r="H1664" s="6" t="s">
        <v>562</v>
      </c>
    </row>
    <row r="1665" ht="15.75">
      <c r="H1665" s="6" t="s">
        <v>769</v>
      </c>
    </row>
    <row r="1666" ht="15.75">
      <c r="H1666" s="6" t="s">
        <v>770</v>
      </c>
    </row>
    <row r="1667" ht="15.75">
      <c r="H1667" s="361" t="str">
        <f>H11</f>
        <v>                         Добровольский К.А.</v>
      </c>
    </row>
    <row r="1668" ht="15.75">
      <c r="H1668" s="6" t="s">
        <v>772</v>
      </c>
    </row>
    <row r="1669" ht="15.75">
      <c r="H1669" s="6" t="s">
        <v>567</v>
      </c>
    </row>
    <row r="1670" ht="15.75">
      <c r="A1670" s="362"/>
    </row>
    <row r="1671" ht="15.75">
      <c r="A1671" s="3" t="s">
        <v>264</v>
      </c>
    </row>
    <row r="1672" spans="1:8" ht="18.75" customHeight="1">
      <c r="A1672" s="623" t="s">
        <v>120</v>
      </c>
      <c r="B1672" s="623"/>
      <c r="C1672" s="623"/>
      <c r="D1672" s="623"/>
      <c r="E1672" s="623"/>
      <c r="F1672" s="623"/>
      <c r="G1672" s="623"/>
      <c r="H1672" s="623"/>
    </row>
    <row r="1673" spans="1:8" ht="15.75">
      <c r="A1673" s="364"/>
      <c r="B1673" s="364"/>
      <c r="C1673" s="366"/>
      <c r="D1673" s="366"/>
      <c r="E1673" s="366"/>
      <c r="F1673" s="366"/>
      <c r="G1673" s="366"/>
      <c r="H1673" s="366"/>
    </row>
    <row r="1674" spans="1:8" ht="16.5" customHeight="1">
      <c r="A1674" s="581" t="s">
        <v>121</v>
      </c>
      <c r="B1674" s="559" t="s">
        <v>122</v>
      </c>
      <c r="C1674" s="560" t="s">
        <v>123</v>
      </c>
      <c r="D1674" s="560"/>
      <c r="E1674" s="560"/>
      <c r="F1674" s="560"/>
      <c r="G1674" s="561" t="s">
        <v>124</v>
      </c>
      <c r="H1674" s="581" t="s">
        <v>125</v>
      </c>
    </row>
    <row r="1675" spans="1:8" ht="15.75">
      <c r="A1675" s="581"/>
      <c r="B1675" s="559"/>
      <c r="C1675" s="560"/>
      <c r="D1675" s="560"/>
      <c r="E1675" s="560"/>
      <c r="F1675" s="560"/>
      <c r="G1675" s="561"/>
      <c r="H1675" s="581"/>
    </row>
    <row r="1676" spans="1:8" ht="31.5">
      <c r="A1676" s="581"/>
      <c r="B1676" s="559"/>
      <c r="C1676" s="369" t="s">
        <v>126</v>
      </c>
      <c r="D1676" s="369" t="s">
        <v>127</v>
      </c>
      <c r="E1676" s="370" t="s">
        <v>126</v>
      </c>
      <c r="F1676" s="371" t="s">
        <v>127</v>
      </c>
      <c r="G1676" s="561"/>
      <c r="H1676" s="581"/>
    </row>
    <row r="1677" spans="1:8" ht="15.75">
      <c r="A1677" s="367">
        <v>1</v>
      </c>
      <c r="B1677" s="367">
        <v>2</v>
      </c>
      <c r="C1677" s="372">
        <v>3</v>
      </c>
      <c r="D1677" s="372">
        <v>4</v>
      </c>
      <c r="E1677" s="373"/>
      <c r="F1677" s="374"/>
      <c r="G1677" s="368">
        <v>5</v>
      </c>
      <c r="H1677" s="367">
        <v>6</v>
      </c>
    </row>
    <row r="1678" spans="1:8" ht="18.75" customHeight="1">
      <c r="A1678" s="375">
        <v>1</v>
      </c>
      <c r="B1678" s="582" t="s">
        <v>128</v>
      </c>
      <c r="C1678" s="582"/>
      <c r="D1678" s="582"/>
      <c r="E1678" s="582"/>
      <c r="F1678" s="582"/>
      <c r="G1678" s="582"/>
      <c r="H1678" s="582"/>
    </row>
    <row r="1679" spans="1:8" ht="15.75">
      <c r="A1679" s="376" t="s">
        <v>594</v>
      </c>
      <c r="B1679" s="377" t="s">
        <v>129</v>
      </c>
      <c r="C1679" s="378" t="s">
        <v>26</v>
      </c>
      <c r="D1679" s="378" t="s">
        <v>26</v>
      </c>
      <c r="E1679" s="378" t="s">
        <v>26</v>
      </c>
      <c r="F1679" s="378" t="s">
        <v>26</v>
      </c>
      <c r="G1679" s="378" t="s">
        <v>26</v>
      </c>
      <c r="H1679" s="379" t="s">
        <v>130</v>
      </c>
    </row>
    <row r="1680" spans="1:8" ht="15.75">
      <c r="A1680" s="376" t="s">
        <v>735</v>
      </c>
      <c r="B1680" s="377" t="s">
        <v>131</v>
      </c>
      <c r="C1680" s="378" t="s">
        <v>26</v>
      </c>
      <c r="D1680" s="378" t="s">
        <v>26</v>
      </c>
      <c r="E1680" s="378" t="s">
        <v>26</v>
      </c>
      <c r="F1680" s="378" t="s">
        <v>26</v>
      </c>
      <c r="G1680" s="378" t="s">
        <v>26</v>
      </c>
      <c r="H1680" s="379" t="s">
        <v>130</v>
      </c>
    </row>
    <row r="1681" spans="1:8" ht="31.5">
      <c r="A1681" s="376" t="s">
        <v>737</v>
      </c>
      <c r="B1681" s="381" t="s">
        <v>132</v>
      </c>
      <c r="C1681" s="566" t="s">
        <v>88</v>
      </c>
      <c r="D1681" s="566" t="s">
        <v>89</v>
      </c>
      <c r="E1681" s="378" t="s">
        <v>26</v>
      </c>
      <c r="F1681" s="378" t="s">
        <v>26</v>
      </c>
      <c r="G1681" s="378" t="s">
        <v>26</v>
      </c>
      <c r="H1681" s="379" t="s">
        <v>130</v>
      </c>
    </row>
    <row r="1682" spans="1:8" ht="47.25">
      <c r="A1682" s="376" t="s">
        <v>739</v>
      </c>
      <c r="B1682" s="381" t="s">
        <v>133</v>
      </c>
      <c r="C1682" s="566" t="s">
        <v>90</v>
      </c>
      <c r="D1682" s="566" t="s">
        <v>91</v>
      </c>
      <c r="E1682" s="378" t="s">
        <v>26</v>
      </c>
      <c r="F1682" s="378" t="s">
        <v>26</v>
      </c>
      <c r="G1682" s="378" t="s">
        <v>26</v>
      </c>
      <c r="H1682" s="379" t="s">
        <v>130</v>
      </c>
    </row>
    <row r="1683" spans="1:8" ht="15.75">
      <c r="A1683" s="376" t="s">
        <v>852</v>
      </c>
      <c r="B1683" s="382" t="s">
        <v>134</v>
      </c>
      <c r="C1683" s="566" t="s">
        <v>92</v>
      </c>
      <c r="D1683" s="566" t="s">
        <v>93</v>
      </c>
      <c r="E1683" s="378" t="s">
        <v>26</v>
      </c>
      <c r="F1683" s="378" t="s">
        <v>26</v>
      </c>
      <c r="G1683" s="378" t="s">
        <v>26</v>
      </c>
      <c r="H1683" s="379" t="s">
        <v>130</v>
      </c>
    </row>
    <row r="1684" spans="1:8" ht="15.75">
      <c r="A1684" s="376" t="s">
        <v>853</v>
      </c>
      <c r="B1684" s="382" t="s">
        <v>135</v>
      </c>
      <c r="C1684" s="566" t="s">
        <v>88</v>
      </c>
      <c r="D1684" s="566" t="s">
        <v>234</v>
      </c>
      <c r="E1684" s="378" t="s">
        <v>26</v>
      </c>
      <c r="F1684" s="378" t="s">
        <v>26</v>
      </c>
      <c r="G1684" s="378" t="s">
        <v>26</v>
      </c>
      <c r="H1684" s="379" t="s">
        <v>130</v>
      </c>
    </row>
    <row r="1685" spans="1:8" ht="18.75" customHeight="1">
      <c r="A1685" s="376">
        <v>2</v>
      </c>
      <c r="B1685" s="579" t="s">
        <v>136</v>
      </c>
      <c r="C1685" s="579"/>
      <c r="D1685" s="579"/>
      <c r="E1685" s="579"/>
      <c r="F1685" s="579"/>
      <c r="G1685" s="579"/>
      <c r="H1685" s="579"/>
    </row>
    <row r="1686" spans="1:8" ht="31.5">
      <c r="A1686" s="376" t="s">
        <v>743</v>
      </c>
      <c r="B1686" s="381" t="s">
        <v>137</v>
      </c>
      <c r="C1686" s="378" t="s">
        <v>249</v>
      </c>
      <c r="D1686" s="378" t="s">
        <v>256</v>
      </c>
      <c r="E1686" s="378" t="s">
        <v>26</v>
      </c>
      <c r="F1686" s="378" t="s">
        <v>26</v>
      </c>
      <c r="G1686" s="383">
        <v>0</v>
      </c>
      <c r="H1686" s="379"/>
    </row>
    <row r="1687" spans="1:8" ht="47.25">
      <c r="A1687" s="376" t="s">
        <v>746</v>
      </c>
      <c r="B1687" s="381" t="s">
        <v>140</v>
      </c>
      <c r="C1687" s="378" t="s">
        <v>26</v>
      </c>
      <c r="D1687" s="378" t="s">
        <v>26</v>
      </c>
      <c r="E1687" s="378" t="s">
        <v>26</v>
      </c>
      <c r="F1687" s="378" t="s">
        <v>26</v>
      </c>
      <c r="G1687" s="378" t="s">
        <v>26</v>
      </c>
      <c r="H1687" s="379" t="s">
        <v>130</v>
      </c>
    </row>
    <row r="1688" spans="1:8" ht="31.5">
      <c r="A1688" s="376" t="s">
        <v>141</v>
      </c>
      <c r="B1688" s="381" t="s">
        <v>142</v>
      </c>
      <c r="C1688" s="378" t="s">
        <v>26</v>
      </c>
      <c r="D1688" s="378" t="s">
        <v>26</v>
      </c>
      <c r="E1688" s="378" t="s">
        <v>26</v>
      </c>
      <c r="F1688" s="378" t="s">
        <v>26</v>
      </c>
      <c r="G1688" s="378" t="s">
        <v>26</v>
      </c>
      <c r="H1688" s="379" t="s">
        <v>130</v>
      </c>
    </row>
    <row r="1689" spans="1:8" ht="18.75" customHeight="1">
      <c r="A1689" s="376">
        <v>3</v>
      </c>
      <c r="B1689" s="579" t="s">
        <v>184</v>
      </c>
      <c r="C1689" s="579"/>
      <c r="D1689" s="579"/>
      <c r="E1689" s="579"/>
      <c r="F1689" s="579"/>
      <c r="G1689" s="579"/>
      <c r="H1689" s="579"/>
    </row>
    <row r="1690" spans="1:8" ht="31.5">
      <c r="A1690" s="376" t="s">
        <v>756</v>
      </c>
      <c r="B1690" s="382" t="s">
        <v>144</v>
      </c>
      <c r="C1690" s="378" t="s">
        <v>26</v>
      </c>
      <c r="D1690" s="378" t="s">
        <v>26</v>
      </c>
      <c r="E1690" s="378" t="s">
        <v>26</v>
      </c>
      <c r="F1690" s="378" t="s">
        <v>26</v>
      </c>
      <c r="G1690" s="378" t="s">
        <v>26</v>
      </c>
      <c r="H1690" s="379" t="s">
        <v>130</v>
      </c>
    </row>
    <row r="1691" spans="1:8" ht="15.75">
      <c r="A1691" s="376" t="s">
        <v>757</v>
      </c>
      <c r="B1691" s="382" t="s">
        <v>145</v>
      </c>
      <c r="C1691" s="378" t="s">
        <v>249</v>
      </c>
      <c r="D1691" s="378" t="s">
        <v>251</v>
      </c>
      <c r="E1691" s="378" t="s">
        <v>26</v>
      </c>
      <c r="F1691" s="378" t="s">
        <v>26</v>
      </c>
      <c r="G1691" s="383">
        <v>0</v>
      </c>
      <c r="H1691" s="379"/>
    </row>
    <row r="1692" spans="1:8" ht="15.75">
      <c r="A1692" s="376" t="s">
        <v>147</v>
      </c>
      <c r="B1692" s="382" t="s">
        <v>148</v>
      </c>
      <c r="C1692" s="378" t="s">
        <v>245</v>
      </c>
      <c r="D1692" s="378" t="s">
        <v>257</v>
      </c>
      <c r="E1692" s="378" t="s">
        <v>26</v>
      </c>
      <c r="F1692" s="378" t="s">
        <v>26</v>
      </c>
      <c r="G1692" s="383">
        <v>0</v>
      </c>
      <c r="H1692" s="379"/>
    </row>
    <row r="1693" spans="1:8" ht="15.75">
      <c r="A1693" s="376" t="s">
        <v>151</v>
      </c>
      <c r="B1693" s="382" t="s">
        <v>152</v>
      </c>
      <c r="C1693" s="378" t="s">
        <v>258</v>
      </c>
      <c r="D1693" s="378" t="s">
        <v>259</v>
      </c>
      <c r="E1693" s="378" t="s">
        <v>26</v>
      </c>
      <c r="F1693" s="378" t="s">
        <v>26</v>
      </c>
      <c r="G1693" s="383">
        <v>0</v>
      </c>
      <c r="H1693" s="379"/>
    </row>
    <row r="1694" spans="1:8" ht="15.75">
      <c r="A1694" s="376" t="s">
        <v>155</v>
      </c>
      <c r="B1694" s="382" t="s">
        <v>156</v>
      </c>
      <c r="C1694" s="378" t="s">
        <v>260</v>
      </c>
      <c r="D1694" s="378" t="s">
        <v>256</v>
      </c>
      <c r="E1694" s="378" t="s">
        <v>26</v>
      </c>
      <c r="F1694" s="378" t="s">
        <v>26</v>
      </c>
      <c r="G1694" s="383">
        <v>0</v>
      </c>
      <c r="H1694" s="379"/>
    </row>
    <row r="1695" spans="1:8" ht="18.75" customHeight="1">
      <c r="A1695" s="376">
        <v>4</v>
      </c>
      <c r="B1695" s="579" t="s">
        <v>159</v>
      </c>
      <c r="C1695" s="579"/>
      <c r="D1695" s="579"/>
      <c r="E1695" s="579"/>
      <c r="F1695" s="579"/>
      <c r="G1695" s="579"/>
      <c r="H1695" s="579"/>
    </row>
    <row r="1696" spans="1:8" ht="31.5">
      <c r="A1696" s="376" t="s">
        <v>160</v>
      </c>
      <c r="B1696" s="381" t="s">
        <v>161</v>
      </c>
      <c r="C1696" s="378" t="s">
        <v>26</v>
      </c>
      <c r="D1696" s="378" t="s">
        <v>26</v>
      </c>
      <c r="E1696" s="378" t="s">
        <v>26</v>
      </c>
      <c r="F1696" s="378" t="s">
        <v>26</v>
      </c>
      <c r="G1696" s="378" t="s">
        <v>26</v>
      </c>
      <c r="H1696" s="379" t="s">
        <v>130</v>
      </c>
    </row>
    <row r="1697" spans="1:8" ht="47.25">
      <c r="A1697" s="376" t="s">
        <v>162</v>
      </c>
      <c r="B1697" s="381" t="s">
        <v>163</v>
      </c>
      <c r="C1697" s="378" t="s">
        <v>26</v>
      </c>
      <c r="D1697" s="378" t="s">
        <v>26</v>
      </c>
      <c r="E1697" s="378" t="s">
        <v>26</v>
      </c>
      <c r="F1697" s="378" t="s">
        <v>26</v>
      </c>
      <c r="G1697" s="378" t="s">
        <v>26</v>
      </c>
      <c r="H1697" s="379" t="s">
        <v>130</v>
      </c>
    </row>
    <row r="1698" spans="1:8" ht="31.5">
      <c r="A1698" s="376" t="s">
        <v>164</v>
      </c>
      <c r="B1698" s="382" t="s">
        <v>165</v>
      </c>
      <c r="C1698" s="378" t="s">
        <v>26</v>
      </c>
      <c r="D1698" s="378" t="s">
        <v>26</v>
      </c>
      <c r="E1698" s="378" t="s">
        <v>26</v>
      </c>
      <c r="F1698" s="378" t="s">
        <v>26</v>
      </c>
      <c r="G1698" s="378" t="s">
        <v>26</v>
      </c>
      <c r="H1698" s="379" t="s">
        <v>130</v>
      </c>
    </row>
    <row r="1699" spans="1:8" ht="31.5">
      <c r="A1699" s="384" t="s">
        <v>166</v>
      </c>
      <c r="B1699" s="385" t="s">
        <v>167</v>
      </c>
      <c r="C1699" s="386" t="s">
        <v>26</v>
      </c>
      <c r="D1699" s="386" t="s">
        <v>26</v>
      </c>
      <c r="E1699" s="386" t="s">
        <v>26</v>
      </c>
      <c r="F1699" s="386" t="s">
        <v>26</v>
      </c>
      <c r="G1699" s="386" t="s">
        <v>26</v>
      </c>
      <c r="H1699" s="387" t="s">
        <v>130</v>
      </c>
    </row>
    <row r="1700" spans="1:8" ht="15.75">
      <c r="A1700" s="388"/>
      <c r="B1700" s="389"/>
      <c r="C1700" s="390"/>
      <c r="D1700" s="390"/>
      <c r="E1700" s="390"/>
      <c r="F1700" s="390"/>
      <c r="G1700" s="390"/>
      <c r="H1700" s="98"/>
    </row>
    <row r="1701" spans="1:8" ht="18.75" customHeight="1">
      <c r="A1701" s="580" t="s">
        <v>168</v>
      </c>
      <c r="B1701" s="580"/>
      <c r="C1701" s="580"/>
      <c r="D1701" s="580"/>
      <c r="E1701" s="580"/>
      <c r="F1701" s="580"/>
      <c r="G1701" s="580"/>
      <c r="H1701" s="580"/>
    </row>
    <row r="1704" ht="15.75">
      <c r="H1704" s="6" t="s">
        <v>113</v>
      </c>
    </row>
    <row r="1705" ht="15.75">
      <c r="H1705" s="6" t="s">
        <v>114</v>
      </c>
    </row>
    <row r="1706" ht="15.75">
      <c r="H1706" s="6" t="s">
        <v>115</v>
      </c>
    </row>
    <row r="1707" ht="15.75">
      <c r="H1707" s="6"/>
    </row>
    <row r="1708" spans="1:8" ht="18.75" customHeight="1">
      <c r="A1708" s="622" t="s">
        <v>116</v>
      </c>
      <c r="B1708" s="622"/>
      <c r="C1708" s="622"/>
      <c r="D1708" s="622"/>
      <c r="E1708" s="622"/>
      <c r="F1708" s="622"/>
      <c r="G1708" s="622"/>
      <c r="H1708" s="622"/>
    </row>
    <row r="1709" spans="1:8" ht="18.75" customHeight="1">
      <c r="A1709" s="622" t="s">
        <v>117</v>
      </c>
      <c r="B1709" s="622"/>
      <c r="C1709" s="622"/>
      <c r="D1709" s="622"/>
      <c r="E1709" s="622"/>
      <c r="F1709" s="622"/>
      <c r="G1709" s="622"/>
      <c r="H1709" s="622"/>
    </row>
    <row r="1710" ht="15.75">
      <c r="H1710" s="6" t="s">
        <v>562</v>
      </c>
    </row>
    <row r="1711" ht="15.75">
      <c r="H1711" s="6" t="s">
        <v>769</v>
      </c>
    </row>
    <row r="1712" ht="15.75">
      <c r="H1712" s="6" t="s">
        <v>770</v>
      </c>
    </row>
    <row r="1713" ht="15.75">
      <c r="H1713" s="361" t="str">
        <f>H11</f>
        <v>                         Добровольский К.А.</v>
      </c>
    </row>
    <row r="1714" ht="15.75">
      <c r="H1714" s="6" t="s">
        <v>772</v>
      </c>
    </row>
    <row r="1715" ht="15.75">
      <c r="H1715" s="6" t="s">
        <v>567</v>
      </c>
    </row>
    <row r="1716" ht="15.75">
      <c r="A1716" s="362"/>
    </row>
    <row r="1717" ht="15.75">
      <c r="A1717" s="3" t="s">
        <v>265</v>
      </c>
    </row>
    <row r="1718" spans="1:8" ht="18.75" customHeight="1">
      <c r="A1718" s="623" t="s">
        <v>120</v>
      </c>
      <c r="B1718" s="623"/>
      <c r="C1718" s="623"/>
      <c r="D1718" s="623"/>
      <c r="E1718" s="623"/>
      <c r="F1718" s="623"/>
      <c r="G1718" s="623"/>
      <c r="H1718" s="623"/>
    </row>
    <row r="1719" spans="1:8" ht="15.75">
      <c r="A1719" s="364"/>
      <c r="B1719" s="364"/>
      <c r="C1719" s="366"/>
      <c r="D1719" s="366"/>
      <c r="E1719" s="366"/>
      <c r="F1719" s="366"/>
      <c r="G1719" s="366"/>
      <c r="H1719" s="366"/>
    </row>
    <row r="1720" spans="1:8" ht="16.5" customHeight="1">
      <c r="A1720" s="581" t="s">
        <v>121</v>
      </c>
      <c r="B1720" s="559" t="s">
        <v>122</v>
      </c>
      <c r="C1720" s="560" t="s">
        <v>123</v>
      </c>
      <c r="D1720" s="560"/>
      <c r="E1720" s="560"/>
      <c r="F1720" s="560"/>
      <c r="G1720" s="561" t="s">
        <v>124</v>
      </c>
      <c r="H1720" s="581" t="s">
        <v>125</v>
      </c>
    </row>
    <row r="1721" spans="1:8" ht="15.75">
      <c r="A1721" s="581"/>
      <c r="B1721" s="559"/>
      <c r="C1721" s="560"/>
      <c r="D1721" s="560"/>
      <c r="E1721" s="560"/>
      <c r="F1721" s="560"/>
      <c r="G1721" s="561"/>
      <c r="H1721" s="581"/>
    </row>
    <row r="1722" spans="1:8" ht="31.5">
      <c r="A1722" s="581"/>
      <c r="B1722" s="559"/>
      <c r="C1722" s="369" t="s">
        <v>126</v>
      </c>
      <c r="D1722" s="369" t="s">
        <v>127</v>
      </c>
      <c r="E1722" s="370" t="s">
        <v>126</v>
      </c>
      <c r="F1722" s="371" t="s">
        <v>127</v>
      </c>
      <c r="G1722" s="561"/>
      <c r="H1722" s="581"/>
    </row>
    <row r="1723" spans="1:8" ht="15.75">
      <c r="A1723" s="367">
        <v>1</v>
      </c>
      <c r="B1723" s="367">
        <v>2</v>
      </c>
      <c r="C1723" s="372">
        <v>3</v>
      </c>
      <c r="D1723" s="372">
        <v>4</v>
      </c>
      <c r="E1723" s="373"/>
      <c r="F1723" s="374"/>
      <c r="G1723" s="368">
        <v>5</v>
      </c>
      <c r="H1723" s="367">
        <v>6</v>
      </c>
    </row>
    <row r="1724" spans="1:8" ht="18.75" customHeight="1">
      <c r="A1724" s="375">
        <v>1</v>
      </c>
      <c r="B1724" s="582" t="s">
        <v>128</v>
      </c>
      <c r="C1724" s="582"/>
      <c r="D1724" s="582"/>
      <c r="E1724" s="582"/>
      <c r="F1724" s="582"/>
      <c r="G1724" s="582"/>
      <c r="H1724" s="582"/>
    </row>
    <row r="1725" spans="1:8" ht="15.75">
      <c r="A1725" s="376" t="s">
        <v>594</v>
      </c>
      <c r="B1725" s="377" t="s">
        <v>129</v>
      </c>
      <c r="C1725" s="378" t="s">
        <v>26</v>
      </c>
      <c r="D1725" s="378" t="s">
        <v>26</v>
      </c>
      <c r="E1725" s="378" t="s">
        <v>26</v>
      </c>
      <c r="F1725" s="378" t="s">
        <v>26</v>
      </c>
      <c r="G1725" s="378" t="s">
        <v>26</v>
      </c>
      <c r="H1725" s="379" t="s">
        <v>130</v>
      </c>
    </row>
    <row r="1726" spans="1:8" ht="15.75">
      <c r="A1726" s="376" t="s">
        <v>735</v>
      </c>
      <c r="B1726" s="377" t="s">
        <v>131</v>
      </c>
      <c r="C1726" s="378" t="s">
        <v>26</v>
      </c>
      <c r="D1726" s="378" t="s">
        <v>26</v>
      </c>
      <c r="E1726" s="378" t="s">
        <v>26</v>
      </c>
      <c r="F1726" s="378" t="s">
        <v>26</v>
      </c>
      <c r="G1726" s="378" t="s">
        <v>26</v>
      </c>
      <c r="H1726" s="379" t="s">
        <v>130</v>
      </c>
    </row>
    <row r="1727" spans="1:8" ht="31.5">
      <c r="A1727" s="376" t="s">
        <v>737</v>
      </c>
      <c r="B1727" s="381" t="s">
        <v>132</v>
      </c>
      <c r="C1727" s="566" t="s">
        <v>88</v>
      </c>
      <c r="D1727" s="566" t="s">
        <v>89</v>
      </c>
      <c r="E1727" s="378" t="s">
        <v>26</v>
      </c>
      <c r="F1727" s="378" t="s">
        <v>26</v>
      </c>
      <c r="G1727" s="378" t="s">
        <v>26</v>
      </c>
      <c r="H1727" s="379" t="s">
        <v>130</v>
      </c>
    </row>
    <row r="1728" spans="1:8" ht="47.25">
      <c r="A1728" s="376" t="s">
        <v>739</v>
      </c>
      <c r="B1728" s="381" t="s">
        <v>133</v>
      </c>
      <c r="C1728" s="566" t="s">
        <v>90</v>
      </c>
      <c r="D1728" s="566" t="s">
        <v>91</v>
      </c>
      <c r="E1728" s="378" t="s">
        <v>26</v>
      </c>
      <c r="F1728" s="378" t="s">
        <v>26</v>
      </c>
      <c r="G1728" s="378" t="s">
        <v>26</v>
      </c>
      <c r="H1728" s="379" t="s">
        <v>130</v>
      </c>
    </row>
    <row r="1729" spans="1:8" ht="15.75">
      <c r="A1729" s="376" t="s">
        <v>852</v>
      </c>
      <c r="B1729" s="382" t="s">
        <v>134</v>
      </c>
      <c r="C1729" s="566" t="s">
        <v>92</v>
      </c>
      <c r="D1729" s="566" t="s">
        <v>93</v>
      </c>
      <c r="E1729" s="378" t="s">
        <v>26</v>
      </c>
      <c r="F1729" s="378" t="s">
        <v>26</v>
      </c>
      <c r="G1729" s="378" t="s">
        <v>26</v>
      </c>
      <c r="H1729" s="379" t="s">
        <v>130</v>
      </c>
    </row>
    <row r="1730" spans="1:8" ht="15.75">
      <c r="A1730" s="376" t="s">
        <v>853</v>
      </c>
      <c r="B1730" s="382" t="s">
        <v>135</v>
      </c>
      <c r="C1730" s="566" t="s">
        <v>88</v>
      </c>
      <c r="D1730" s="566" t="s">
        <v>234</v>
      </c>
      <c r="E1730" s="378" t="s">
        <v>26</v>
      </c>
      <c r="F1730" s="378" t="s">
        <v>26</v>
      </c>
      <c r="G1730" s="378" t="s">
        <v>26</v>
      </c>
      <c r="H1730" s="379" t="s">
        <v>130</v>
      </c>
    </row>
    <row r="1731" spans="1:8" ht="18.75" customHeight="1">
      <c r="A1731" s="376">
        <v>2</v>
      </c>
      <c r="B1731" s="579" t="s">
        <v>136</v>
      </c>
      <c r="C1731" s="579"/>
      <c r="D1731" s="579"/>
      <c r="E1731" s="579"/>
      <c r="F1731" s="579"/>
      <c r="G1731" s="579"/>
      <c r="H1731" s="579"/>
    </row>
    <row r="1732" spans="1:8" ht="31.5">
      <c r="A1732" s="376" t="s">
        <v>743</v>
      </c>
      <c r="B1732" s="381" t="s">
        <v>137</v>
      </c>
      <c r="C1732" s="378" t="s">
        <v>249</v>
      </c>
      <c r="D1732" s="378" t="s">
        <v>256</v>
      </c>
      <c r="E1732" s="378" t="s">
        <v>26</v>
      </c>
      <c r="F1732" s="378" t="s">
        <v>26</v>
      </c>
      <c r="G1732" s="383">
        <v>0</v>
      </c>
      <c r="H1732" s="379"/>
    </row>
    <row r="1733" spans="1:8" ht="47.25">
      <c r="A1733" s="376" t="s">
        <v>746</v>
      </c>
      <c r="B1733" s="381" t="s">
        <v>140</v>
      </c>
      <c r="C1733" s="378" t="s">
        <v>26</v>
      </c>
      <c r="D1733" s="378" t="s">
        <v>26</v>
      </c>
      <c r="E1733" s="378" t="s">
        <v>26</v>
      </c>
      <c r="F1733" s="378" t="s">
        <v>26</v>
      </c>
      <c r="G1733" s="378" t="s">
        <v>26</v>
      </c>
      <c r="H1733" s="379" t="s">
        <v>130</v>
      </c>
    </row>
    <row r="1734" spans="1:8" ht="31.5">
      <c r="A1734" s="376" t="s">
        <v>141</v>
      </c>
      <c r="B1734" s="381" t="s">
        <v>142</v>
      </c>
      <c r="C1734" s="378" t="s">
        <v>26</v>
      </c>
      <c r="D1734" s="378" t="s">
        <v>26</v>
      </c>
      <c r="E1734" s="378" t="s">
        <v>26</v>
      </c>
      <c r="F1734" s="378" t="s">
        <v>26</v>
      </c>
      <c r="G1734" s="378" t="s">
        <v>26</v>
      </c>
      <c r="H1734" s="379" t="s">
        <v>130</v>
      </c>
    </row>
    <row r="1735" spans="1:8" ht="18.75" customHeight="1">
      <c r="A1735" s="376">
        <v>3</v>
      </c>
      <c r="B1735" s="579" t="s">
        <v>184</v>
      </c>
      <c r="C1735" s="579"/>
      <c r="D1735" s="579"/>
      <c r="E1735" s="579"/>
      <c r="F1735" s="579"/>
      <c r="G1735" s="579"/>
      <c r="H1735" s="579"/>
    </row>
    <row r="1736" spans="1:8" ht="31.5">
      <c r="A1736" s="376" t="s">
        <v>756</v>
      </c>
      <c r="B1736" s="382" t="s">
        <v>144</v>
      </c>
      <c r="C1736" s="378" t="s">
        <v>26</v>
      </c>
      <c r="D1736" s="378" t="s">
        <v>26</v>
      </c>
      <c r="E1736" s="378" t="s">
        <v>26</v>
      </c>
      <c r="F1736" s="378" t="s">
        <v>26</v>
      </c>
      <c r="G1736" s="378" t="s">
        <v>26</v>
      </c>
      <c r="H1736" s="379" t="s">
        <v>130</v>
      </c>
    </row>
    <row r="1737" spans="1:8" ht="15.75">
      <c r="A1737" s="376" t="s">
        <v>757</v>
      </c>
      <c r="B1737" s="382" t="s">
        <v>145</v>
      </c>
      <c r="C1737" s="378" t="s">
        <v>249</v>
      </c>
      <c r="D1737" s="378" t="s">
        <v>251</v>
      </c>
      <c r="E1737" s="378" t="s">
        <v>26</v>
      </c>
      <c r="F1737" s="378" t="s">
        <v>26</v>
      </c>
      <c r="G1737" s="383">
        <v>0</v>
      </c>
      <c r="H1737" s="379"/>
    </row>
    <row r="1738" spans="1:8" ht="15.75">
      <c r="A1738" s="376" t="s">
        <v>147</v>
      </c>
      <c r="B1738" s="382" t="s">
        <v>148</v>
      </c>
      <c r="C1738" s="378" t="s">
        <v>245</v>
      </c>
      <c r="D1738" s="378" t="s">
        <v>257</v>
      </c>
      <c r="E1738" s="378" t="s">
        <v>26</v>
      </c>
      <c r="F1738" s="378" t="s">
        <v>26</v>
      </c>
      <c r="G1738" s="383">
        <v>0</v>
      </c>
      <c r="H1738" s="379"/>
    </row>
    <row r="1739" spans="1:8" ht="15.75">
      <c r="A1739" s="376" t="s">
        <v>151</v>
      </c>
      <c r="B1739" s="382" t="s">
        <v>152</v>
      </c>
      <c r="C1739" s="378" t="s">
        <v>258</v>
      </c>
      <c r="D1739" s="378" t="s">
        <v>259</v>
      </c>
      <c r="E1739" s="378" t="s">
        <v>26</v>
      </c>
      <c r="F1739" s="378" t="s">
        <v>26</v>
      </c>
      <c r="G1739" s="383">
        <v>0</v>
      </c>
      <c r="H1739" s="379"/>
    </row>
    <row r="1740" spans="1:8" ht="15.75">
      <c r="A1740" s="376" t="s">
        <v>155</v>
      </c>
      <c r="B1740" s="382" t="s">
        <v>156</v>
      </c>
      <c r="C1740" s="378" t="s">
        <v>260</v>
      </c>
      <c r="D1740" s="378" t="s">
        <v>256</v>
      </c>
      <c r="E1740" s="378" t="s">
        <v>26</v>
      </c>
      <c r="F1740" s="378" t="s">
        <v>26</v>
      </c>
      <c r="G1740" s="383">
        <v>0</v>
      </c>
      <c r="H1740" s="379"/>
    </row>
    <row r="1741" spans="1:8" ht="18.75" customHeight="1">
      <c r="A1741" s="376">
        <v>4</v>
      </c>
      <c r="B1741" s="579" t="s">
        <v>159</v>
      </c>
      <c r="C1741" s="579"/>
      <c r="D1741" s="579"/>
      <c r="E1741" s="579"/>
      <c r="F1741" s="579"/>
      <c r="G1741" s="579"/>
      <c r="H1741" s="579"/>
    </row>
    <row r="1742" spans="1:8" ht="31.5">
      <c r="A1742" s="376" t="s">
        <v>160</v>
      </c>
      <c r="B1742" s="381" t="s">
        <v>161</v>
      </c>
      <c r="C1742" s="378" t="s">
        <v>26</v>
      </c>
      <c r="D1742" s="378" t="s">
        <v>26</v>
      </c>
      <c r="E1742" s="378" t="s">
        <v>26</v>
      </c>
      <c r="F1742" s="378" t="s">
        <v>26</v>
      </c>
      <c r="G1742" s="378" t="s">
        <v>26</v>
      </c>
      <c r="H1742" s="379" t="s">
        <v>130</v>
      </c>
    </row>
    <row r="1743" spans="1:8" ht="47.25">
      <c r="A1743" s="376" t="s">
        <v>162</v>
      </c>
      <c r="B1743" s="381" t="s">
        <v>163</v>
      </c>
      <c r="C1743" s="378" t="s">
        <v>26</v>
      </c>
      <c r="D1743" s="378" t="s">
        <v>26</v>
      </c>
      <c r="E1743" s="378" t="s">
        <v>26</v>
      </c>
      <c r="F1743" s="378" t="s">
        <v>26</v>
      </c>
      <c r="G1743" s="378" t="s">
        <v>26</v>
      </c>
      <c r="H1743" s="379" t="s">
        <v>130</v>
      </c>
    </row>
    <row r="1744" spans="1:8" ht="31.5">
      <c r="A1744" s="376" t="s">
        <v>164</v>
      </c>
      <c r="B1744" s="382" t="s">
        <v>165</v>
      </c>
      <c r="C1744" s="378" t="s">
        <v>26</v>
      </c>
      <c r="D1744" s="378" t="s">
        <v>26</v>
      </c>
      <c r="E1744" s="378" t="s">
        <v>26</v>
      </c>
      <c r="F1744" s="378" t="s">
        <v>26</v>
      </c>
      <c r="G1744" s="378" t="s">
        <v>26</v>
      </c>
      <c r="H1744" s="379" t="s">
        <v>130</v>
      </c>
    </row>
    <row r="1745" spans="1:8" ht="31.5">
      <c r="A1745" s="384" t="s">
        <v>166</v>
      </c>
      <c r="B1745" s="385" t="s">
        <v>167</v>
      </c>
      <c r="C1745" s="386" t="s">
        <v>26</v>
      </c>
      <c r="D1745" s="386" t="s">
        <v>26</v>
      </c>
      <c r="E1745" s="386" t="s">
        <v>26</v>
      </c>
      <c r="F1745" s="386" t="s">
        <v>26</v>
      </c>
      <c r="G1745" s="386" t="s">
        <v>26</v>
      </c>
      <c r="H1745" s="387" t="s">
        <v>130</v>
      </c>
    </row>
    <row r="1746" spans="1:8" ht="15.75">
      <c r="A1746" s="388"/>
      <c r="B1746" s="389"/>
      <c r="C1746" s="390"/>
      <c r="D1746" s="390"/>
      <c r="E1746" s="390"/>
      <c r="F1746" s="390"/>
      <c r="G1746" s="390"/>
      <c r="H1746" s="98"/>
    </row>
    <row r="1747" spans="1:8" ht="18.75" customHeight="1">
      <c r="A1747" s="580" t="s">
        <v>168</v>
      </c>
      <c r="B1747" s="580"/>
      <c r="C1747" s="580"/>
      <c r="D1747" s="580"/>
      <c r="E1747" s="580"/>
      <c r="F1747" s="580"/>
      <c r="G1747" s="580"/>
      <c r="H1747" s="580"/>
    </row>
    <row r="1750" ht="15.75">
      <c r="H1750" s="6" t="s">
        <v>113</v>
      </c>
    </row>
    <row r="1751" ht="15.75">
      <c r="H1751" s="6" t="s">
        <v>114</v>
      </c>
    </row>
    <row r="1752" ht="15.75">
      <c r="H1752" s="6" t="s">
        <v>115</v>
      </c>
    </row>
    <row r="1753" ht="15.75">
      <c r="H1753" s="6"/>
    </row>
    <row r="1754" spans="1:8" ht="18.75" customHeight="1">
      <c r="A1754" s="622" t="s">
        <v>116</v>
      </c>
      <c r="B1754" s="622"/>
      <c r="C1754" s="622"/>
      <c r="D1754" s="622"/>
      <c r="E1754" s="622"/>
      <c r="F1754" s="622"/>
      <c r="G1754" s="622"/>
      <c r="H1754" s="622"/>
    </row>
    <row r="1755" spans="1:8" ht="18.75" customHeight="1">
      <c r="A1755" s="622" t="s">
        <v>117</v>
      </c>
      <c r="B1755" s="622"/>
      <c r="C1755" s="622"/>
      <c r="D1755" s="622"/>
      <c r="E1755" s="622"/>
      <c r="F1755" s="622"/>
      <c r="G1755" s="622"/>
      <c r="H1755" s="622"/>
    </row>
    <row r="1756" ht="15.75">
      <c r="H1756" s="6" t="s">
        <v>562</v>
      </c>
    </row>
    <row r="1757" ht="15.75">
      <c r="H1757" s="6" t="s">
        <v>769</v>
      </c>
    </row>
    <row r="1758" ht="15.75">
      <c r="H1758" s="6" t="s">
        <v>770</v>
      </c>
    </row>
    <row r="1759" ht="15.75">
      <c r="H1759" s="361" t="str">
        <f>H11</f>
        <v>                         Добровольский К.А.</v>
      </c>
    </row>
    <row r="1760" ht="15.75">
      <c r="H1760" s="6" t="s">
        <v>772</v>
      </c>
    </row>
    <row r="1761" ht="15.75">
      <c r="H1761" s="6" t="s">
        <v>567</v>
      </c>
    </row>
    <row r="1762" ht="15.75">
      <c r="A1762" s="362"/>
    </row>
    <row r="1763" ht="15.75">
      <c r="A1763" s="3" t="s">
        <v>266</v>
      </c>
    </row>
    <row r="1764" spans="1:8" ht="18.75" customHeight="1">
      <c r="A1764" s="623" t="s">
        <v>120</v>
      </c>
      <c r="B1764" s="623"/>
      <c r="C1764" s="623"/>
      <c r="D1764" s="623"/>
      <c r="E1764" s="623"/>
      <c r="F1764" s="623"/>
      <c r="G1764" s="623"/>
      <c r="H1764" s="623"/>
    </row>
    <row r="1765" spans="1:8" ht="15.75">
      <c r="A1765" s="364"/>
      <c r="B1765" s="364"/>
      <c r="C1765" s="366"/>
      <c r="D1765" s="366"/>
      <c r="E1765" s="366"/>
      <c r="F1765" s="366"/>
      <c r="G1765" s="366"/>
      <c r="H1765" s="366"/>
    </row>
    <row r="1766" spans="1:8" ht="16.5" customHeight="1">
      <c r="A1766" s="581" t="s">
        <v>121</v>
      </c>
      <c r="B1766" s="559" t="s">
        <v>122</v>
      </c>
      <c r="C1766" s="560" t="s">
        <v>123</v>
      </c>
      <c r="D1766" s="560"/>
      <c r="E1766" s="560"/>
      <c r="F1766" s="560"/>
      <c r="G1766" s="561" t="s">
        <v>124</v>
      </c>
      <c r="H1766" s="581" t="s">
        <v>125</v>
      </c>
    </row>
    <row r="1767" spans="1:8" ht="15.75">
      <c r="A1767" s="581"/>
      <c r="B1767" s="559"/>
      <c r="C1767" s="560"/>
      <c r="D1767" s="560"/>
      <c r="E1767" s="560"/>
      <c r="F1767" s="560"/>
      <c r="G1767" s="561"/>
      <c r="H1767" s="581"/>
    </row>
    <row r="1768" spans="1:8" ht="31.5">
      <c r="A1768" s="581"/>
      <c r="B1768" s="559"/>
      <c r="C1768" s="369" t="s">
        <v>126</v>
      </c>
      <c r="D1768" s="369" t="s">
        <v>127</v>
      </c>
      <c r="E1768" s="370" t="s">
        <v>126</v>
      </c>
      <c r="F1768" s="371" t="s">
        <v>127</v>
      </c>
      <c r="G1768" s="561"/>
      <c r="H1768" s="581"/>
    </row>
    <row r="1769" spans="1:8" ht="15.75">
      <c r="A1769" s="367">
        <v>1</v>
      </c>
      <c r="B1769" s="367">
        <v>2</v>
      </c>
      <c r="C1769" s="372">
        <v>3</v>
      </c>
      <c r="D1769" s="372">
        <v>4</v>
      </c>
      <c r="E1769" s="373"/>
      <c r="F1769" s="374"/>
      <c r="G1769" s="368">
        <v>5</v>
      </c>
      <c r="H1769" s="367">
        <v>6</v>
      </c>
    </row>
    <row r="1770" spans="1:8" ht="18.75" customHeight="1">
      <c r="A1770" s="375">
        <v>1</v>
      </c>
      <c r="B1770" s="582" t="s">
        <v>128</v>
      </c>
      <c r="C1770" s="582"/>
      <c r="D1770" s="582"/>
      <c r="E1770" s="582"/>
      <c r="F1770" s="582"/>
      <c r="G1770" s="582"/>
      <c r="H1770" s="582"/>
    </row>
    <row r="1771" spans="1:8" ht="15.75">
      <c r="A1771" s="376" t="s">
        <v>594</v>
      </c>
      <c r="B1771" s="377" t="s">
        <v>129</v>
      </c>
      <c r="C1771" s="378" t="s">
        <v>26</v>
      </c>
      <c r="D1771" s="378" t="s">
        <v>26</v>
      </c>
      <c r="E1771" s="378" t="s">
        <v>26</v>
      </c>
      <c r="F1771" s="378" t="s">
        <v>26</v>
      </c>
      <c r="G1771" s="378" t="s">
        <v>26</v>
      </c>
      <c r="H1771" s="379" t="s">
        <v>130</v>
      </c>
    </row>
    <row r="1772" spans="1:8" ht="15.75">
      <c r="A1772" s="376" t="s">
        <v>735</v>
      </c>
      <c r="B1772" s="377" t="s">
        <v>131</v>
      </c>
      <c r="C1772" s="378" t="s">
        <v>26</v>
      </c>
      <c r="D1772" s="378" t="s">
        <v>26</v>
      </c>
      <c r="E1772" s="378" t="s">
        <v>26</v>
      </c>
      <c r="F1772" s="378" t="s">
        <v>26</v>
      </c>
      <c r="G1772" s="378" t="s">
        <v>26</v>
      </c>
      <c r="H1772" s="379" t="s">
        <v>130</v>
      </c>
    </row>
    <row r="1773" spans="1:8" ht="31.5">
      <c r="A1773" s="376" t="s">
        <v>737</v>
      </c>
      <c r="B1773" s="381" t="s">
        <v>132</v>
      </c>
      <c r="C1773" s="566" t="s">
        <v>88</v>
      </c>
      <c r="D1773" s="566" t="s">
        <v>89</v>
      </c>
      <c r="E1773" s="378" t="s">
        <v>26</v>
      </c>
      <c r="F1773" s="378" t="s">
        <v>26</v>
      </c>
      <c r="G1773" s="378" t="s">
        <v>26</v>
      </c>
      <c r="H1773" s="379" t="s">
        <v>130</v>
      </c>
    </row>
    <row r="1774" spans="1:8" ht="47.25">
      <c r="A1774" s="376" t="s">
        <v>739</v>
      </c>
      <c r="B1774" s="381" t="s">
        <v>133</v>
      </c>
      <c r="C1774" s="566" t="s">
        <v>90</v>
      </c>
      <c r="D1774" s="566" t="s">
        <v>91</v>
      </c>
      <c r="E1774" s="378" t="s">
        <v>26</v>
      </c>
      <c r="F1774" s="378" t="s">
        <v>26</v>
      </c>
      <c r="G1774" s="378" t="s">
        <v>26</v>
      </c>
      <c r="H1774" s="379" t="s">
        <v>130</v>
      </c>
    </row>
    <row r="1775" spans="1:8" ht="15.75">
      <c r="A1775" s="376" t="s">
        <v>852</v>
      </c>
      <c r="B1775" s="382" t="s">
        <v>134</v>
      </c>
      <c r="C1775" s="566" t="s">
        <v>92</v>
      </c>
      <c r="D1775" s="566" t="s">
        <v>93</v>
      </c>
      <c r="E1775" s="378" t="s">
        <v>26</v>
      </c>
      <c r="F1775" s="378" t="s">
        <v>26</v>
      </c>
      <c r="G1775" s="378" t="s">
        <v>26</v>
      </c>
      <c r="H1775" s="379" t="s">
        <v>130</v>
      </c>
    </row>
    <row r="1776" spans="1:8" ht="15.75">
      <c r="A1776" s="376" t="s">
        <v>853</v>
      </c>
      <c r="B1776" s="382" t="s">
        <v>135</v>
      </c>
      <c r="C1776" s="566" t="s">
        <v>88</v>
      </c>
      <c r="D1776" s="566" t="s">
        <v>234</v>
      </c>
      <c r="E1776" s="378" t="s">
        <v>26</v>
      </c>
      <c r="F1776" s="378" t="s">
        <v>26</v>
      </c>
      <c r="G1776" s="378" t="s">
        <v>26</v>
      </c>
      <c r="H1776" s="379" t="s">
        <v>130</v>
      </c>
    </row>
    <row r="1777" spans="1:8" ht="18.75" customHeight="1">
      <c r="A1777" s="376">
        <v>2</v>
      </c>
      <c r="B1777" s="579" t="s">
        <v>136</v>
      </c>
      <c r="C1777" s="579"/>
      <c r="D1777" s="579"/>
      <c r="E1777" s="579"/>
      <c r="F1777" s="579"/>
      <c r="G1777" s="579"/>
      <c r="H1777" s="579"/>
    </row>
    <row r="1778" spans="1:8" ht="31.5">
      <c r="A1778" s="376" t="s">
        <v>743</v>
      </c>
      <c r="B1778" s="381" t="s">
        <v>137</v>
      </c>
      <c r="C1778" s="378" t="s">
        <v>249</v>
      </c>
      <c r="D1778" s="378" t="s">
        <v>256</v>
      </c>
      <c r="E1778" s="378" t="s">
        <v>26</v>
      </c>
      <c r="F1778" s="378" t="s">
        <v>26</v>
      </c>
      <c r="G1778" s="383">
        <v>0</v>
      </c>
      <c r="H1778" s="379"/>
    </row>
    <row r="1779" spans="1:8" ht="47.25">
      <c r="A1779" s="376" t="s">
        <v>746</v>
      </c>
      <c r="B1779" s="381" t="s">
        <v>140</v>
      </c>
      <c r="C1779" s="378" t="s">
        <v>26</v>
      </c>
      <c r="D1779" s="378" t="s">
        <v>26</v>
      </c>
      <c r="E1779" s="378" t="s">
        <v>26</v>
      </c>
      <c r="F1779" s="378" t="s">
        <v>26</v>
      </c>
      <c r="G1779" s="378" t="s">
        <v>26</v>
      </c>
      <c r="H1779" s="379" t="s">
        <v>130</v>
      </c>
    </row>
    <row r="1780" spans="1:8" ht="31.5">
      <c r="A1780" s="376" t="s">
        <v>141</v>
      </c>
      <c r="B1780" s="381" t="s">
        <v>142</v>
      </c>
      <c r="C1780" s="378" t="s">
        <v>26</v>
      </c>
      <c r="D1780" s="378" t="s">
        <v>26</v>
      </c>
      <c r="E1780" s="378" t="s">
        <v>26</v>
      </c>
      <c r="F1780" s="378" t="s">
        <v>26</v>
      </c>
      <c r="G1780" s="378" t="s">
        <v>26</v>
      </c>
      <c r="H1780" s="379" t="s">
        <v>130</v>
      </c>
    </row>
    <row r="1781" spans="1:8" ht="18.75" customHeight="1">
      <c r="A1781" s="376">
        <v>3</v>
      </c>
      <c r="B1781" s="579" t="s">
        <v>184</v>
      </c>
      <c r="C1781" s="579"/>
      <c r="D1781" s="579"/>
      <c r="E1781" s="579"/>
      <c r="F1781" s="579"/>
      <c r="G1781" s="579"/>
      <c r="H1781" s="579"/>
    </row>
    <row r="1782" spans="1:8" ht="31.5">
      <c r="A1782" s="376" t="s">
        <v>756</v>
      </c>
      <c r="B1782" s="382" t="s">
        <v>144</v>
      </c>
      <c r="C1782" s="378" t="s">
        <v>26</v>
      </c>
      <c r="D1782" s="378" t="s">
        <v>26</v>
      </c>
      <c r="E1782" s="378" t="s">
        <v>26</v>
      </c>
      <c r="F1782" s="378" t="s">
        <v>26</v>
      </c>
      <c r="G1782" s="378" t="s">
        <v>26</v>
      </c>
      <c r="H1782" s="379" t="s">
        <v>130</v>
      </c>
    </row>
    <row r="1783" spans="1:8" ht="15.75">
      <c r="A1783" s="376" t="s">
        <v>757</v>
      </c>
      <c r="B1783" s="382" t="s">
        <v>145</v>
      </c>
      <c r="C1783" s="378" t="s">
        <v>249</v>
      </c>
      <c r="D1783" s="378" t="s">
        <v>251</v>
      </c>
      <c r="E1783" s="378" t="s">
        <v>26</v>
      </c>
      <c r="F1783" s="378" t="s">
        <v>26</v>
      </c>
      <c r="G1783" s="383">
        <v>0</v>
      </c>
      <c r="H1783" s="379"/>
    </row>
    <row r="1784" spans="1:8" ht="15.75">
      <c r="A1784" s="376" t="s">
        <v>147</v>
      </c>
      <c r="B1784" s="382" t="s">
        <v>148</v>
      </c>
      <c r="C1784" s="378" t="s">
        <v>245</v>
      </c>
      <c r="D1784" s="378" t="s">
        <v>257</v>
      </c>
      <c r="E1784" s="378" t="s">
        <v>26</v>
      </c>
      <c r="F1784" s="378" t="s">
        <v>26</v>
      </c>
      <c r="G1784" s="383">
        <v>0</v>
      </c>
      <c r="H1784" s="379"/>
    </row>
    <row r="1785" spans="1:8" ht="15.75">
      <c r="A1785" s="376" t="s">
        <v>151</v>
      </c>
      <c r="B1785" s="382" t="s">
        <v>152</v>
      </c>
      <c r="C1785" s="378" t="s">
        <v>258</v>
      </c>
      <c r="D1785" s="378" t="s">
        <v>259</v>
      </c>
      <c r="E1785" s="378" t="s">
        <v>26</v>
      </c>
      <c r="F1785" s="378" t="s">
        <v>26</v>
      </c>
      <c r="G1785" s="383">
        <v>0</v>
      </c>
      <c r="H1785" s="379"/>
    </row>
    <row r="1786" spans="1:8" ht="15.75">
      <c r="A1786" s="376" t="s">
        <v>155</v>
      </c>
      <c r="B1786" s="382" t="s">
        <v>156</v>
      </c>
      <c r="C1786" s="378" t="s">
        <v>260</v>
      </c>
      <c r="D1786" s="378" t="s">
        <v>256</v>
      </c>
      <c r="E1786" s="378" t="s">
        <v>26</v>
      </c>
      <c r="F1786" s="378" t="s">
        <v>26</v>
      </c>
      <c r="G1786" s="383">
        <v>0</v>
      </c>
      <c r="H1786" s="379"/>
    </row>
    <row r="1787" spans="1:8" ht="18.75" customHeight="1">
      <c r="A1787" s="376">
        <v>4</v>
      </c>
      <c r="B1787" s="579" t="s">
        <v>159</v>
      </c>
      <c r="C1787" s="579"/>
      <c r="D1787" s="579"/>
      <c r="E1787" s="579"/>
      <c r="F1787" s="579"/>
      <c r="G1787" s="579"/>
      <c r="H1787" s="579"/>
    </row>
    <row r="1788" spans="1:8" ht="31.5">
      <c r="A1788" s="376" t="s">
        <v>160</v>
      </c>
      <c r="B1788" s="381" t="s">
        <v>161</v>
      </c>
      <c r="C1788" s="378" t="s">
        <v>26</v>
      </c>
      <c r="D1788" s="378" t="s">
        <v>26</v>
      </c>
      <c r="E1788" s="378" t="s">
        <v>26</v>
      </c>
      <c r="F1788" s="378" t="s">
        <v>26</v>
      </c>
      <c r="G1788" s="378" t="s">
        <v>26</v>
      </c>
      <c r="H1788" s="379" t="s">
        <v>130</v>
      </c>
    </row>
    <row r="1789" spans="1:8" ht="47.25">
      <c r="A1789" s="376" t="s">
        <v>162</v>
      </c>
      <c r="B1789" s="381" t="s">
        <v>163</v>
      </c>
      <c r="C1789" s="378" t="s">
        <v>26</v>
      </c>
      <c r="D1789" s="378" t="s">
        <v>26</v>
      </c>
      <c r="E1789" s="378" t="s">
        <v>26</v>
      </c>
      <c r="F1789" s="378" t="s">
        <v>26</v>
      </c>
      <c r="G1789" s="378" t="s">
        <v>26</v>
      </c>
      <c r="H1789" s="379" t="s">
        <v>130</v>
      </c>
    </row>
    <row r="1790" spans="1:8" ht="31.5">
      <c r="A1790" s="376" t="s">
        <v>164</v>
      </c>
      <c r="B1790" s="382" t="s">
        <v>165</v>
      </c>
      <c r="C1790" s="378" t="s">
        <v>26</v>
      </c>
      <c r="D1790" s="378" t="s">
        <v>26</v>
      </c>
      <c r="E1790" s="378" t="s">
        <v>26</v>
      </c>
      <c r="F1790" s="378" t="s">
        <v>26</v>
      </c>
      <c r="G1790" s="378" t="s">
        <v>26</v>
      </c>
      <c r="H1790" s="379" t="s">
        <v>130</v>
      </c>
    </row>
    <row r="1791" spans="1:8" ht="31.5">
      <c r="A1791" s="384" t="s">
        <v>166</v>
      </c>
      <c r="B1791" s="385" t="s">
        <v>167</v>
      </c>
      <c r="C1791" s="386" t="s">
        <v>26</v>
      </c>
      <c r="D1791" s="386" t="s">
        <v>26</v>
      </c>
      <c r="E1791" s="386" t="s">
        <v>26</v>
      </c>
      <c r="F1791" s="386" t="s">
        <v>26</v>
      </c>
      <c r="G1791" s="386" t="s">
        <v>26</v>
      </c>
      <c r="H1791" s="387" t="s">
        <v>130</v>
      </c>
    </row>
    <row r="1792" spans="1:8" ht="15.75">
      <c r="A1792" s="388"/>
      <c r="B1792" s="389"/>
      <c r="C1792" s="390"/>
      <c r="D1792" s="390"/>
      <c r="E1792" s="390"/>
      <c r="F1792" s="390"/>
      <c r="G1792" s="390"/>
      <c r="H1792" s="98"/>
    </row>
    <row r="1793" spans="1:8" ht="18.75" customHeight="1">
      <c r="A1793" s="580" t="s">
        <v>168</v>
      </c>
      <c r="B1793" s="580"/>
      <c r="C1793" s="580"/>
      <c r="D1793" s="580"/>
      <c r="E1793" s="580"/>
      <c r="F1793" s="580"/>
      <c r="G1793" s="580"/>
      <c r="H1793" s="580"/>
    </row>
    <row r="1799" ht="15.75">
      <c r="H1799" s="6" t="s">
        <v>113</v>
      </c>
    </row>
    <row r="1800" ht="15.75">
      <c r="H1800" s="6" t="s">
        <v>114</v>
      </c>
    </row>
    <row r="1801" ht="15.75">
      <c r="H1801" s="6" t="s">
        <v>115</v>
      </c>
    </row>
    <row r="1802" ht="15.75">
      <c r="H1802" s="6"/>
    </row>
    <row r="1803" spans="1:8" ht="18.75" customHeight="1">
      <c r="A1803" s="622" t="s">
        <v>116</v>
      </c>
      <c r="B1803" s="622"/>
      <c r="C1803" s="622"/>
      <c r="D1803" s="622"/>
      <c r="E1803" s="622"/>
      <c r="F1803" s="622"/>
      <c r="G1803" s="622"/>
      <c r="H1803" s="622"/>
    </row>
    <row r="1804" spans="1:8" ht="18.75" customHeight="1">
      <c r="A1804" s="622" t="s">
        <v>117</v>
      </c>
      <c r="B1804" s="622"/>
      <c r="C1804" s="622"/>
      <c r="D1804" s="622"/>
      <c r="E1804" s="622"/>
      <c r="F1804" s="622"/>
      <c r="G1804" s="622"/>
      <c r="H1804" s="622"/>
    </row>
    <row r="1805" ht="15.75">
      <c r="H1805" s="6" t="s">
        <v>562</v>
      </c>
    </row>
    <row r="1806" ht="15.75">
      <c r="H1806" s="6" t="s">
        <v>769</v>
      </c>
    </row>
    <row r="1807" ht="15.75">
      <c r="H1807" s="6" t="s">
        <v>770</v>
      </c>
    </row>
    <row r="1808" ht="15.75">
      <c r="H1808" s="361" t="str">
        <f>H11</f>
        <v>                         Добровольский К.А.</v>
      </c>
    </row>
    <row r="1809" ht="15.75">
      <c r="H1809" s="6" t="s">
        <v>772</v>
      </c>
    </row>
    <row r="1810" ht="15.75">
      <c r="H1810" s="6" t="s">
        <v>567</v>
      </c>
    </row>
    <row r="1811" ht="15.75">
      <c r="A1811" s="362"/>
    </row>
    <row r="1812" ht="15.75">
      <c r="A1812" s="3" t="s">
        <v>267</v>
      </c>
    </row>
    <row r="1813" spans="1:8" ht="18.75" customHeight="1">
      <c r="A1813" s="623" t="s">
        <v>120</v>
      </c>
      <c r="B1813" s="623"/>
      <c r="C1813" s="623"/>
      <c r="D1813" s="623"/>
      <c r="E1813" s="623"/>
      <c r="F1813" s="623"/>
      <c r="G1813" s="623"/>
      <c r="H1813" s="623"/>
    </row>
    <row r="1814" spans="1:8" ht="15.75">
      <c r="A1814" s="364"/>
      <c r="B1814" s="364"/>
      <c r="C1814" s="366"/>
      <c r="D1814" s="366"/>
      <c r="E1814" s="366"/>
      <c r="F1814" s="366"/>
      <c r="G1814" s="366"/>
      <c r="H1814" s="366"/>
    </row>
    <row r="1815" spans="1:8" ht="16.5" customHeight="1">
      <c r="A1815" s="581" t="s">
        <v>121</v>
      </c>
      <c r="B1815" s="559" t="s">
        <v>122</v>
      </c>
      <c r="C1815" s="560" t="s">
        <v>123</v>
      </c>
      <c r="D1815" s="560"/>
      <c r="E1815" s="560"/>
      <c r="F1815" s="560"/>
      <c r="G1815" s="561" t="s">
        <v>124</v>
      </c>
      <c r="H1815" s="581" t="s">
        <v>125</v>
      </c>
    </row>
    <row r="1816" spans="1:8" ht="15.75">
      <c r="A1816" s="581"/>
      <c r="B1816" s="559"/>
      <c r="C1816" s="560"/>
      <c r="D1816" s="560"/>
      <c r="E1816" s="560"/>
      <c r="F1816" s="560"/>
      <c r="G1816" s="561"/>
      <c r="H1816" s="581"/>
    </row>
    <row r="1817" spans="1:8" ht="31.5">
      <c r="A1817" s="581"/>
      <c r="B1817" s="559"/>
      <c r="C1817" s="369" t="s">
        <v>126</v>
      </c>
      <c r="D1817" s="369" t="s">
        <v>127</v>
      </c>
      <c r="E1817" s="370" t="s">
        <v>126</v>
      </c>
      <c r="F1817" s="371" t="s">
        <v>127</v>
      </c>
      <c r="G1817" s="561"/>
      <c r="H1817" s="581"/>
    </row>
    <row r="1818" spans="1:8" ht="15.75">
      <c r="A1818" s="367">
        <v>1</v>
      </c>
      <c r="B1818" s="367">
        <v>2</v>
      </c>
      <c r="C1818" s="372">
        <v>3</v>
      </c>
      <c r="D1818" s="372">
        <v>4</v>
      </c>
      <c r="E1818" s="373"/>
      <c r="F1818" s="374"/>
      <c r="G1818" s="368">
        <v>5</v>
      </c>
      <c r="H1818" s="367">
        <v>6</v>
      </c>
    </row>
    <row r="1819" spans="1:8" ht="18.75" customHeight="1">
      <c r="A1819" s="375">
        <v>1</v>
      </c>
      <c r="B1819" s="582" t="s">
        <v>128</v>
      </c>
      <c r="C1819" s="582"/>
      <c r="D1819" s="582"/>
      <c r="E1819" s="582"/>
      <c r="F1819" s="582"/>
      <c r="G1819" s="582"/>
      <c r="H1819" s="582"/>
    </row>
    <row r="1820" spans="1:8" ht="15.75">
      <c r="A1820" s="376" t="s">
        <v>594</v>
      </c>
      <c r="B1820" s="377" t="s">
        <v>129</v>
      </c>
      <c r="C1820" s="378" t="s">
        <v>26</v>
      </c>
      <c r="D1820" s="378" t="s">
        <v>26</v>
      </c>
      <c r="E1820" s="378" t="s">
        <v>26</v>
      </c>
      <c r="F1820" s="378" t="s">
        <v>26</v>
      </c>
      <c r="G1820" s="378" t="s">
        <v>26</v>
      </c>
      <c r="H1820" s="379" t="s">
        <v>130</v>
      </c>
    </row>
    <row r="1821" spans="1:8" ht="15.75">
      <c r="A1821" s="376" t="s">
        <v>735</v>
      </c>
      <c r="B1821" s="377" t="s">
        <v>131</v>
      </c>
      <c r="C1821" s="378" t="s">
        <v>26</v>
      </c>
      <c r="D1821" s="378" t="s">
        <v>26</v>
      </c>
      <c r="E1821" s="378" t="s">
        <v>26</v>
      </c>
      <c r="F1821" s="378" t="s">
        <v>26</v>
      </c>
      <c r="G1821" s="378" t="s">
        <v>26</v>
      </c>
      <c r="H1821" s="379" t="s">
        <v>130</v>
      </c>
    </row>
    <row r="1822" spans="1:8" ht="31.5">
      <c r="A1822" s="376" t="s">
        <v>737</v>
      </c>
      <c r="B1822" s="381" t="s">
        <v>132</v>
      </c>
      <c r="C1822" s="566" t="s">
        <v>88</v>
      </c>
      <c r="D1822" s="566" t="s">
        <v>89</v>
      </c>
      <c r="E1822" s="378" t="s">
        <v>26</v>
      </c>
      <c r="F1822" s="378" t="s">
        <v>26</v>
      </c>
      <c r="G1822" s="378" t="s">
        <v>26</v>
      </c>
      <c r="H1822" s="379" t="s">
        <v>130</v>
      </c>
    </row>
    <row r="1823" spans="1:8" ht="47.25">
      <c r="A1823" s="376" t="s">
        <v>739</v>
      </c>
      <c r="B1823" s="381" t="s">
        <v>133</v>
      </c>
      <c r="C1823" s="566" t="s">
        <v>90</v>
      </c>
      <c r="D1823" s="566" t="s">
        <v>91</v>
      </c>
      <c r="E1823" s="378" t="s">
        <v>26</v>
      </c>
      <c r="F1823" s="378" t="s">
        <v>26</v>
      </c>
      <c r="G1823" s="378" t="s">
        <v>26</v>
      </c>
      <c r="H1823" s="379" t="s">
        <v>130</v>
      </c>
    </row>
    <row r="1824" spans="1:8" ht="15.75">
      <c r="A1824" s="376" t="s">
        <v>852</v>
      </c>
      <c r="B1824" s="382" t="s">
        <v>134</v>
      </c>
      <c r="C1824" s="566" t="s">
        <v>92</v>
      </c>
      <c r="D1824" s="566" t="s">
        <v>93</v>
      </c>
      <c r="E1824" s="378" t="s">
        <v>26</v>
      </c>
      <c r="F1824" s="378" t="s">
        <v>26</v>
      </c>
      <c r="G1824" s="378" t="s">
        <v>26</v>
      </c>
      <c r="H1824" s="379" t="s">
        <v>130</v>
      </c>
    </row>
    <row r="1825" spans="1:8" ht="15.75">
      <c r="A1825" s="376" t="s">
        <v>853</v>
      </c>
      <c r="B1825" s="382" t="s">
        <v>135</v>
      </c>
      <c r="C1825" s="566" t="s">
        <v>88</v>
      </c>
      <c r="D1825" s="566" t="s">
        <v>234</v>
      </c>
      <c r="E1825" s="378" t="s">
        <v>26</v>
      </c>
      <c r="F1825" s="378" t="s">
        <v>26</v>
      </c>
      <c r="G1825" s="378" t="s">
        <v>26</v>
      </c>
      <c r="H1825" s="379" t="s">
        <v>130</v>
      </c>
    </row>
    <row r="1826" spans="1:8" ht="18.75" customHeight="1">
      <c r="A1826" s="376">
        <v>2</v>
      </c>
      <c r="B1826" s="579" t="s">
        <v>136</v>
      </c>
      <c r="C1826" s="579"/>
      <c r="D1826" s="579"/>
      <c r="E1826" s="579"/>
      <c r="F1826" s="579"/>
      <c r="G1826" s="579"/>
      <c r="H1826" s="579"/>
    </row>
    <row r="1827" spans="1:8" ht="31.5">
      <c r="A1827" s="376" t="s">
        <v>743</v>
      </c>
      <c r="B1827" s="381" t="s">
        <v>137</v>
      </c>
      <c r="C1827" s="378" t="s">
        <v>239</v>
      </c>
      <c r="D1827" s="378" t="s">
        <v>245</v>
      </c>
      <c r="E1827" s="378" t="s">
        <v>26</v>
      </c>
      <c r="F1827" s="378" t="s">
        <v>26</v>
      </c>
      <c r="G1827" s="383">
        <v>0</v>
      </c>
      <c r="H1827" s="379"/>
    </row>
    <row r="1828" spans="1:8" ht="47.25">
      <c r="A1828" s="376" t="s">
        <v>746</v>
      </c>
      <c r="B1828" s="381" t="s">
        <v>140</v>
      </c>
      <c r="C1828" s="378" t="s">
        <v>26</v>
      </c>
      <c r="D1828" s="378" t="s">
        <v>26</v>
      </c>
      <c r="E1828" s="378" t="s">
        <v>26</v>
      </c>
      <c r="F1828" s="378" t="s">
        <v>26</v>
      </c>
      <c r="G1828" s="378" t="s">
        <v>26</v>
      </c>
      <c r="H1828" s="379" t="s">
        <v>130</v>
      </c>
    </row>
    <row r="1829" spans="1:8" ht="31.5">
      <c r="A1829" s="376" t="s">
        <v>141</v>
      </c>
      <c r="B1829" s="381" t="s">
        <v>142</v>
      </c>
      <c r="C1829" s="378" t="s">
        <v>26</v>
      </c>
      <c r="D1829" s="378" t="s">
        <v>26</v>
      </c>
      <c r="E1829" s="378" t="s">
        <v>26</v>
      </c>
      <c r="F1829" s="378" t="s">
        <v>26</v>
      </c>
      <c r="G1829" s="378" t="s">
        <v>26</v>
      </c>
      <c r="H1829" s="379" t="s">
        <v>130</v>
      </c>
    </row>
    <row r="1830" spans="1:8" ht="18.75" customHeight="1">
      <c r="A1830" s="376">
        <v>3</v>
      </c>
      <c r="B1830" s="579" t="s">
        <v>184</v>
      </c>
      <c r="C1830" s="579"/>
      <c r="D1830" s="579"/>
      <c r="E1830" s="579"/>
      <c r="F1830" s="579"/>
      <c r="G1830" s="579"/>
      <c r="H1830" s="579"/>
    </row>
    <row r="1831" spans="1:8" ht="31.5">
      <c r="A1831" s="376" t="s">
        <v>756</v>
      </c>
      <c r="B1831" s="382" t="s">
        <v>144</v>
      </c>
      <c r="C1831" s="378" t="s">
        <v>26</v>
      </c>
      <c r="D1831" s="378" t="s">
        <v>26</v>
      </c>
      <c r="E1831" s="378" t="s">
        <v>26</v>
      </c>
      <c r="F1831" s="378" t="s">
        <v>26</v>
      </c>
      <c r="G1831" s="378" t="s">
        <v>26</v>
      </c>
      <c r="H1831" s="379" t="s">
        <v>130</v>
      </c>
    </row>
    <row r="1832" spans="1:8" ht="15.75">
      <c r="A1832" s="376" t="s">
        <v>757</v>
      </c>
      <c r="B1832" s="382" t="s">
        <v>145</v>
      </c>
      <c r="C1832" s="378" t="s">
        <v>239</v>
      </c>
      <c r="D1832" s="378" t="s">
        <v>235</v>
      </c>
      <c r="E1832" s="378" t="s">
        <v>26</v>
      </c>
      <c r="F1832" s="378" t="s">
        <v>26</v>
      </c>
      <c r="G1832" s="383">
        <v>0</v>
      </c>
      <c r="H1832" s="379"/>
    </row>
    <row r="1833" spans="1:8" ht="15.75">
      <c r="A1833" s="376" t="s">
        <v>147</v>
      </c>
      <c r="B1833" s="382" t="s">
        <v>148</v>
      </c>
      <c r="C1833" s="378" t="s">
        <v>246</v>
      </c>
      <c r="D1833" s="378" t="s">
        <v>247</v>
      </c>
      <c r="E1833" s="378" t="s">
        <v>26</v>
      </c>
      <c r="F1833" s="378" t="s">
        <v>26</v>
      </c>
      <c r="G1833" s="383">
        <v>0</v>
      </c>
      <c r="H1833" s="379"/>
    </row>
    <row r="1834" spans="1:8" ht="15.75">
      <c r="A1834" s="376" t="s">
        <v>151</v>
      </c>
      <c r="B1834" s="382" t="s">
        <v>152</v>
      </c>
      <c r="C1834" s="378" t="s">
        <v>248</v>
      </c>
      <c r="D1834" s="378" t="s">
        <v>249</v>
      </c>
      <c r="E1834" s="378" t="s">
        <v>26</v>
      </c>
      <c r="F1834" s="378" t="s">
        <v>26</v>
      </c>
      <c r="G1834" s="383">
        <v>0</v>
      </c>
      <c r="H1834" s="379"/>
    </row>
    <row r="1835" spans="1:8" ht="15.75">
      <c r="A1835" s="376" t="s">
        <v>155</v>
      </c>
      <c r="B1835" s="382" t="s">
        <v>156</v>
      </c>
      <c r="C1835" s="378" t="s">
        <v>250</v>
      </c>
      <c r="D1835" s="378" t="s">
        <v>251</v>
      </c>
      <c r="E1835" s="378" t="s">
        <v>26</v>
      </c>
      <c r="F1835" s="378" t="s">
        <v>26</v>
      </c>
      <c r="G1835" s="383">
        <v>0</v>
      </c>
      <c r="H1835" s="379"/>
    </row>
    <row r="1836" spans="1:8" ht="18.75" customHeight="1">
      <c r="A1836" s="376">
        <v>4</v>
      </c>
      <c r="B1836" s="579" t="s">
        <v>159</v>
      </c>
      <c r="C1836" s="579"/>
      <c r="D1836" s="579"/>
      <c r="E1836" s="579"/>
      <c r="F1836" s="579"/>
      <c r="G1836" s="579"/>
      <c r="H1836" s="579"/>
    </row>
    <row r="1837" spans="1:8" ht="31.5">
      <c r="A1837" s="376" t="s">
        <v>160</v>
      </c>
      <c r="B1837" s="381" t="s">
        <v>161</v>
      </c>
      <c r="C1837" s="378" t="s">
        <v>26</v>
      </c>
      <c r="D1837" s="378" t="s">
        <v>26</v>
      </c>
      <c r="E1837" s="378" t="s">
        <v>26</v>
      </c>
      <c r="F1837" s="378" t="s">
        <v>26</v>
      </c>
      <c r="G1837" s="378" t="s">
        <v>26</v>
      </c>
      <c r="H1837" s="379" t="s">
        <v>130</v>
      </c>
    </row>
    <row r="1838" spans="1:8" ht="47.25">
      <c r="A1838" s="376" t="s">
        <v>162</v>
      </c>
      <c r="B1838" s="381" t="s">
        <v>163</v>
      </c>
      <c r="C1838" s="378" t="s">
        <v>26</v>
      </c>
      <c r="D1838" s="378" t="s">
        <v>26</v>
      </c>
      <c r="E1838" s="378" t="s">
        <v>26</v>
      </c>
      <c r="F1838" s="378" t="s">
        <v>26</v>
      </c>
      <c r="G1838" s="378" t="s">
        <v>26</v>
      </c>
      <c r="H1838" s="379" t="s">
        <v>130</v>
      </c>
    </row>
    <row r="1839" spans="1:8" ht="31.5">
      <c r="A1839" s="376" t="s">
        <v>164</v>
      </c>
      <c r="B1839" s="382" t="s">
        <v>165</v>
      </c>
      <c r="C1839" s="378" t="s">
        <v>26</v>
      </c>
      <c r="D1839" s="378" t="s">
        <v>26</v>
      </c>
      <c r="E1839" s="378" t="s">
        <v>26</v>
      </c>
      <c r="F1839" s="378" t="s">
        <v>26</v>
      </c>
      <c r="G1839" s="378" t="s">
        <v>26</v>
      </c>
      <c r="H1839" s="379" t="s">
        <v>130</v>
      </c>
    </row>
    <row r="1840" spans="1:8" ht="31.5">
      <c r="A1840" s="384" t="s">
        <v>166</v>
      </c>
      <c r="B1840" s="385" t="s">
        <v>167</v>
      </c>
      <c r="C1840" s="386" t="s">
        <v>26</v>
      </c>
      <c r="D1840" s="386" t="s">
        <v>26</v>
      </c>
      <c r="E1840" s="386" t="s">
        <v>26</v>
      </c>
      <c r="F1840" s="386" t="s">
        <v>26</v>
      </c>
      <c r="G1840" s="386" t="s">
        <v>26</v>
      </c>
      <c r="H1840" s="387" t="s">
        <v>130</v>
      </c>
    </row>
    <row r="1841" spans="1:8" ht="15.75">
      <c r="A1841" s="388"/>
      <c r="B1841" s="389"/>
      <c r="C1841" s="390"/>
      <c r="D1841" s="390"/>
      <c r="E1841" s="390"/>
      <c r="F1841" s="390"/>
      <c r="G1841" s="390"/>
      <c r="H1841" s="98"/>
    </row>
    <row r="1842" spans="1:8" ht="18.75" customHeight="1">
      <c r="A1842" s="580" t="s">
        <v>168</v>
      </c>
      <c r="B1842" s="580"/>
      <c r="C1842" s="580"/>
      <c r="D1842" s="580"/>
      <c r="E1842" s="580"/>
      <c r="F1842" s="580"/>
      <c r="G1842" s="580"/>
      <c r="H1842" s="580"/>
    </row>
    <row r="1845" ht="15.75">
      <c r="H1845" s="6" t="s">
        <v>113</v>
      </c>
    </row>
    <row r="1846" ht="15.75">
      <c r="H1846" s="6" t="s">
        <v>114</v>
      </c>
    </row>
    <row r="1847" ht="15.75">
      <c r="H1847" s="6" t="s">
        <v>115</v>
      </c>
    </row>
    <row r="1848" ht="15.75">
      <c r="H1848" s="6"/>
    </row>
    <row r="1849" spans="1:8" ht="18.75" customHeight="1">
      <c r="A1849" s="622" t="s">
        <v>116</v>
      </c>
      <c r="B1849" s="622"/>
      <c r="C1849" s="622"/>
      <c r="D1849" s="622"/>
      <c r="E1849" s="622"/>
      <c r="F1849" s="622"/>
      <c r="G1849" s="622"/>
      <c r="H1849" s="622"/>
    </row>
    <row r="1850" spans="1:8" ht="18.75" customHeight="1">
      <c r="A1850" s="622" t="s">
        <v>117</v>
      </c>
      <c r="B1850" s="622"/>
      <c r="C1850" s="622"/>
      <c r="D1850" s="622"/>
      <c r="E1850" s="622"/>
      <c r="F1850" s="622"/>
      <c r="G1850" s="622"/>
      <c r="H1850" s="622"/>
    </row>
    <row r="1851" ht="15.75">
      <c r="H1851" s="6" t="s">
        <v>562</v>
      </c>
    </row>
    <row r="1852" ht="15.75">
      <c r="H1852" s="6" t="s">
        <v>769</v>
      </c>
    </row>
    <row r="1853" ht="15.75">
      <c r="H1853" s="6" t="s">
        <v>770</v>
      </c>
    </row>
    <row r="1854" ht="15.75">
      <c r="H1854" s="361" t="str">
        <f>H11</f>
        <v>                         Добровольский К.А.</v>
      </c>
    </row>
    <row r="1855" ht="15.75">
      <c r="H1855" s="6" t="s">
        <v>772</v>
      </c>
    </row>
    <row r="1856" ht="15.75">
      <c r="H1856" s="6" t="s">
        <v>567</v>
      </c>
    </row>
    <row r="1857" ht="15.75">
      <c r="A1857" s="362"/>
    </row>
    <row r="1858" ht="15.75">
      <c r="A1858" s="3" t="s">
        <v>268</v>
      </c>
    </row>
    <row r="1859" spans="1:8" ht="18.75" customHeight="1">
      <c r="A1859" s="623" t="s">
        <v>120</v>
      </c>
      <c r="B1859" s="623"/>
      <c r="C1859" s="623"/>
      <c r="D1859" s="623"/>
      <c r="E1859" s="623"/>
      <c r="F1859" s="623"/>
      <c r="G1859" s="623"/>
      <c r="H1859" s="623"/>
    </row>
    <row r="1860" spans="1:8" ht="15.75">
      <c r="A1860" s="364"/>
      <c r="B1860" s="364"/>
      <c r="C1860" s="366"/>
      <c r="D1860" s="366"/>
      <c r="E1860" s="366"/>
      <c r="F1860" s="366"/>
      <c r="G1860" s="366"/>
      <c r="H1860" s="366"/>
    </row>
    <row r="1861" spans="1:8" ht="16.5" customHeight="1">
      <c r="A1861" s="581" t="s">
        <v>121</v>
      </c>
      <c r="B1861" s="559" t="s">
        <v>122</v>
      </c>
      <c r="C1861" s="560" t="s">
        <v>123</v>
      </c>
      <c r="D1861" s="560"/>
      <c r="E1861" s="560"/>
      <c r="F1861" s="560"/>
      <c r="G1861" s="561" t="s">
        <v>124</v>
      </c>
      <c r="H1861" s="581" t="s">
        <v>125</v>
      </c>
    </row>
    <row r="1862" spans="1:8" ht="15.75">
      <c r="A1862" s="581"/>
      <c r="B1862" s="559"/>
      <c r="C1862" s="560"/>
      <c r="D1862" s="560"/>
      <c r="E1862" s="560"/>
      <c r="F1862" s="560"/>
      <c r="G1862" s="561"/>
      <c r="H1862" s="581"/>
    </row>
    <row r="1863" spans="1:8" ht="31.5">
      <c r="A1863" s="581"/>
      <c r="B1863" s="559"/>
      <c r="C1863" s="369" t="s">
        <v>126</v>
      </c>
      <c r="D1863" s="369" t="s">
        <v>127</v>
      </c>
      <c r="E1863" s="370" t="s">
        <v>126</v>
      </c>
      <c r="F1863" s="371" t="s">
        <v>127</v>
      </c>
      <c r="G1863" s="561"/>
      <c r="H1863" s="581"/>
    </row>
    <row r="1864" spans="1:8" ht="15.75">
      <c r="A1864" s="367">
        <v>1</v>
      </c>
      <c r="B1864" s="367">
        <v>2</v>
      </c>
      <c r="C1864" s="372">
        <v>3</v>
      </c>
      <c r="D1864" s="372">
        <v>4</v>
      </c>
      <c r="E1864" s="373"/>
      <c r="F1864" s="374"/>
      <c r="G1864" s="368">
        <v>5</v>
      </c>
      <c r="H1864" s="367">
        <v>6</v>
      </c>
    </row>
    <row r="1865" spans="1:8" ht="18.75" customHeight="1">
      <c r="A1865" s="375">
        <v>1</v>
      </c>
      <c r="B1865" s="582" t="s">
        <v>128</v>
      </c>
      <c r="C1865" s="582"/>
      <c r="D1865" s="582"/>
      <c r="E1865" s="582"/>
      <c r="F1865" s="582"/>
      <c r="G1865" s="582"/>
      <c r="H1865" s="582"/>
    </row>
    <row r="1866" spans="1:8" ht="15.75">
      <c r="A1866" s="376" t="s">
        <v>594</v>
      </c>
      <c r="B1866" s="377" t="s">
        <v>129</v>
      </c>
      <c r="C1866" s="378" t="s">
        <v>26</v>
      </c>
      <c r="D1866" s="378" t="s">
        <v>26</v>
      </c>
      <c r="E1866" s="378" t="s">
        <v>26</v>
      </c>
      <c r="F1866" s="378" t="s">
        <v>26</v>
      </c>
      <c r="G1866" s="378" t="s">
        <v>26</v>
      </c>
      <c r="H1866" s="379" t="s">
        <v>130</v>
      </c>
    </row>
    <row r="1867" spans="1:8" ht="15.75">
      <c r="A1867" s="376" t="s">
        <v>735</v>
      </c>
      <c r="B1867" s="377" t="s">
        <v>131</v>
      </c>
      <c r="C1867" s="378" t="s">
        <v>26</v>
      </c>
      <c r="D1867" s="378" t="s">
        <v>26</v>
      </c>
      <c r="E1867" s="378" t="s">
        <v>26</v>
      </c>
      <c r="F1867" s="378" t="s">
        <v>26</v>
      </c>
      <c r="G1867" s="378" t="s">
        <v>26</v>
      </c>
      <c r="H1867" s="379" t="s">
        <v>130</v>
      </c>
    </row>
    <row r="1868" spans="1:8" ht="31.5">
      <c r="A1868" s="376" t="s">
        <v>737</v>
      </c>
      <c r="B1868" s="381" t="s">
        <v>132</v>
      </c>
      <c r="C1868" s="566" t="s">
        <v>88</v>
      </c>
      <c r="D1868" s="566" t="s">
        <v>89</v>
      </c>
      <c r="E1868" s="378" t="s">
        <v>26</v>
      </c>
      <c r="F1868" s="378" t="s">
        <v>26</v>
      </c>
      <c r="G1868" s="378" t="s">
        <v>26</v>
      </c>
      <c r="H1868" s="379" t="s">
        <v>130</v>
      </c>
    </row>
    <row r="1869" spans="1:8" ht="47.25">
      <c r="A1869" s="376" t="s">
        <v>739</v>
      </c>
      <c r="B1869" s="381" t="s">
        <v>133</v>
      </c>
      <c r="C1869" s="566" t="s">
        <v>90</v>
      </c>
      <c r="D1869" s="566" t="s">
        <v>91</v>
      </c>
      <c r="E1869" s="378" t="s">
        <v>26</v>
      </c>
      <c r="F1869" s="378" t="s">
        <v>26</v>
      </c>
      <c r="G1869" s="378" t="s">
        <v>26</v>
      </c>
      <c r="H1869" s="379" t="s">
        <v>130</v>
      </c>
    </row>
    <row r="1870" spans="1:8" ht="15.75">
      <c r="A1870" s="376" t="s">
        <v>852</v>
      </c>
      <c r="B1870" s="382" t="s">
        <v>134</v>
      </c>
      <c r="C1870" s="566" t="s">
        <v>92</v>
      </c>
      <c r="D1870" s="566" t="s">
        <v>93</v>
      </c>
      <c r="E1870" s="378" t="s">
        <v>26</v>
      </c>
      <c r="F1870" s="378" t="s">
        <v>26</v>
      </c>
      <c r="G1870" s="378" t="s">
        <v>26</v>
      </c>
      <c r="H1870" s="379" t="s">
        <v>130</v>
      </c>
    </row>
    <row r="1871" spans="1:8" ht="15.75">
      <c r="A1871" s="376" t="s">
        <v>853</v>
      </c>
      <c r="B1871" s="382" t="s">
        <v>135</v>
      </c>
      <c r="C1871" s="566" t="s">
        <v>88</v>
      </c>
      <c r="D1871" s="566" t="s">
        <v>234</v>
      </c>
      <c r="E1871" s="378" t="s">
        <v>26</v>
      </c>
      <c r="F1871" s="378" t="s">
        <v>26</v>
      </c>
      <c r="G1871" s="378" t="s">
        <v>26</v>
      </c>
      <c r="H1871" s="379" t="s">
        <v>130</v>
      </c>
    </row>
    <row r="1872" spans="1:8" ht="18.75" customHeight="1">
      <c r="A1872" s="376">
        <v>2</v>
      </c>
      <c r="B1872" s="579" t="s">
        <v>136</v>
      </c>
      <c r="C1872" s="579"/>
      <c r="D1872" s="579"/>
      <c r="E1872" s="579"/>
      <c r="F1872" s="579"/>
      <c r="G1872" s="579"/>
      <c r="H1872" s="579"/>
    </row>
    <row r="1873" spans="1:8" ht="31.5">
      <c r="A1873" s="376" t="s">
        <v>743</v>
      </c>
      <c r="B1873" s="381" t="s">
        <v>137</v>
      </c>
      <c r="C1873" s="378" t="s">
        <v>239</v>
      </c>
      <c r="D1873" s="378" t="s">
        <v>245</v>
      </c>
      <c r="E1873" s="378" t="s">
        <v>26</v>
      </c>
      <c r="F1873" s="378" t="s">
        <v>26</v>
      </c>
      <c r="G1873" s="383">
        <v>0</v>
      </c>
      <c r="H1873" s="379"/>
    </row>
    <row r="1874" spans="1:8" ht="47.25">
      <c r="A1874" s="376" t="s">
        <v>746</v>
      </c>
      <c r="B1874" s="381" t="s">
        <v>140</v>
      </c>
      <c r="C1874" s="378" t="s">
        <v>26</v>
      </c>
      <c r="D1874" s="378" t="s">
        <v>26</v>
      </c>
      <c r="E1874" s="378" t="s">
        <v>26</v>
      </c>
      <c r="F1874" s="378" t="s">
        <v>26</v>
      </c>
      <c r="G1874" s="378" t="s">
        <v>26</v>
      </c>
      <c r="H1874" s="379" t="s">
        <v>130</v>
      </c>
    </row>
    <row r="1875" spans="1:8" ht="31.5">
      <c r="A1875" s="376" t="s">
        <v>141</v>
      </c>
      <c r="B1875" s="381" t="s">
        <v>142</v>
      </c>
      <c r="C1875" s="378" t="s">
        <v>26</v>
      </c>
      <c r="D1875" s="378" t="s">
        <v>26</v>
      </c>
      <c r="E1875" s="378" t="s">
        <v>26</v>
      </c>
      <c r="F1875" s="378" t="s">
        <v>26</v>
      </c>
      <c r="G1875" s="378" t="s">
        <v>26</v>
      </c>
      <c r="H1875" s="379" t="s">
        <v>130</v>
      </c>
    </row>
    <row r="1876" spans="1:8" ht="18.75" customHeight="1">
      <c r="A1876" s="376">
        <v>3</v>
      </c>
      <c r="B1876" s="579" t="s">
        <v>184</v>
      </c>
      <c r="C1876" s="579"/>
      <c r="D1876" s="579"/>
      <c r="E1876" s="579"/>
      <c r="F1876" s="579"/>
      <c r="G1876" s="579"/>
      <c r="H1876" s="579"/>
    </row>
    <row r="1877" spans="1:8" ht="31.5">
      <c r="A1877" s="376" t="s">
        <v>756</v>
      </c>
      <c r="B1877" s="382" t="s">
        <v>144</v>
      </c>
      <c r="C1877" s="378" t="s">
        <v>26</v>
      </c>
      <c r="D1877" s="378" t="s">
        <v>26</v>
      </c>
      <c r="E1877" s="378" t="s">
        <v>26</v>
      </c>
      <c r="F1877" s="378" t="s">
        <v>26</v>
      </c>
      <c r="G1877" s="378" t="s">
        <v>26</v>
      </c>
      <c r="H1877" s="379" t="s">
        <v>130</v>
      </c>
    </row>
    <row r="1878" spans="1:8" ht="15.75">
      <c r="A1878" s="376" t="s">
        <v>757</v>
      </c>
      <c r="B1878" s="382" t="s">
        <v>145</v>
      </c>
      <c r="C1878" s="378" t="s">
        <v>239</v>
      </c>
      <c r="D1878" s="378" t="s">
        <v>235</v>
      </c>
      <c r="E1878" s="378" t="s">
        <v>26</v>
      </c>
      <c r="F1878" s="378" t="s">
        <v>26</v>
      </c>
      <c r="G1878" s="383">
        <v>0</v>
      </c>
      <c r="H1878" s="379"/>
    </row>
    <row r="1879" spans="1:8" ht="15.75">
      <c r="A1879" s="376" t="s">
        <v>147</v>
      </c>
      <c r="B1879" s="382" t="s">
        <v>148</v>
      </c>
      <c r="C1879" s="378" t="s">
        <v>246</v>
      </c>
      <c r="D1879" s="378" t="s">
        <v>247</v>
      </c>
      <c r="E1879" s="378" t="s">
        <v>26</v>
      </c>
      <c r="F1879" s="378" t="s">
        <v>26</v>
      </c>
      <c r="G1879" s="383">
        <v>0</v>
      </c>
      <c r="H1879" s="379"/>
    </row>
    <row r="1880" spans="1:8" ht="15.75">
      <c r="A1880" s="376" t="s">
        <v>151</v>
      </c>
      <c r="B1880" s="382" t="s">
        <v>152</v>
      </c>
      <c r="C1880" s="378" t="s">
        <v>248</v>
      </c>
      <c r="D1880" s="378" t="s">
        <v>249</v>
      </c>
      <c r="E1880" s="378" t="s">
        <v>26</v>
      </c>
      <c r="F1880" s="378" t="s">
        <v>26</v>
      </c>
      <c r="G1880" s="383">
        <v>0</v>
      </c>
      <c r="H1880" s="379"/>
    </row>
    <row r="1881" spans="1:8" ht="15.75">
      <c r="A1881" s="376" t="s">
        <v>155</v>
      </c>
      <c r="B1881" s="382" t="s">
        <v>156</v>
      </c>
      <c r="C1881" s="378" t="s">
        <v>250</v>
      </c>
      <c r="D1881" s="378" t="s">
        <v>251</v>
      </c>
      <c r="E1881" s="378" t="s">
        <v>26</v>
      </c>
      <c r="F1881" s="378" t="s">
        <v>26</v>
      </c>
      <c r="G1881" s="383">
        <v>0</v>
      </c>
      <c r="H1881" s="379"/>
    </row>
    <row r="1882" spans="1:8" ht="18.75" customHeight="1">
      <c r="A1882" s="376">
        <v>4</v>
      </c>
      <c r="B1882" s="579" t="s">
        <v>159</v>
      </c>
      <c r="C1882" s="579"/>
      <c r="D1882" s="579"/>
      <c r="E1882" s="579"/>
      <c r="F1882" s="579"/>
      <c r="G1882" s="579"/>
      <c r="H1882" s="579"/>
    </row>
    <row r="1883" spans="1:8" ht="31.5">
      <c r="A1883" s="376" t="s">
        <v>160</v>
      </c>
      <c r="B1883" s="381" t="s">
        <v>161</v>
      </c>
      <c r="C1883" s="378" t="s">
        <v>26</v>
      </c>
      <c r="D1883" s="378" t="s">
        <v>26</v>
      </c>
      <c r="E1883" s="378" t="s">
        <v>26</v>
      </c>
      <c r="F1883" s="378" t="s">
        <v>26</v>
      </c>
      <c r="G1883" s="378" t="s">
        <v>26</v>
      </c>
      <c r="H1883" s="379" t="s">
        <v>130</v>
      </c>
    </row>
    <row r="1884" spans="1:8" ht="47.25">
      <c r="A1884" s="376" t="s">
        <v>162</v>
      </c>
      <c r="B1884" s="381" t="s">
        <v>163</v>
      </c>
      <c r="C1884" s="378" t="s">
        <v>26</v>
      </c>
      <c r="D1884" s="378" t="s">
        <v>26</v>
      </c>
      <c r="E1884" s="378" t="s">
        <v>26</v>
      </c>
      <c r="F1884" s="378" t="s">
        <v>26</v>
      </c>
      <c r="G1884" s="378" t="s">
        <v>26</v>
      </c>
      <c r="H1884" s="379" t="s">
        <v>130</v>
      </c>
    </row>
    <row r="1885" spans="1:8" ht="31.5">
      <c r="A1885" s="376" t="s">
        <v>164</v>
      </c>
      <c r="B1885" s="382" t="s">
        <v>165</v>
      </c>
      <c r="C1885" s="378" t="s">
        <v>26</v>
      </c>
      <c r="D1885" s="378" t="s">
        <v>26</v>
      </c>
      <c r="E1885" s="378" t="s">
        <v>26</v>
      </c>
      <c r="F1885" s="378" t="s">
        <v>26</v>
      </c>
      <c r="G1885" s="378" t="s">
        <v>26</v>
      </c>
      <c r="H1885" s="379" t="s">
        <v>130</v>
      </c>
    </row>
    <row r="1886" spans="1:8" ht="31.5">
      <c r="A1886" s="384" t="s">
        <v>166</v>
      </c>
      <c r="B1886" s="385" t="s">
        <v>167</v>
      </c>
      <c r="C1886" s="386" t="s">
        <v>26</v>
      </c>
      <c r="D1886" s="386" t="s">
        <v>26</v>
      </c>
      <c r="E1886" s="386" t="s">
        <v>26</v>
      </c>
      <c r="F1886" s="386" t="s">
        <v>26</v>
      </c>
      <c r="G1886" s="386" t="s">
        <v>26</v>
      </c>
      <c r="H1886" s="387" t="s">
        <v>130</v>
      </c>
    </row>
    <row r="1887" spans="1:8" ht="15.75">
      <c r="A1887" s="388"/>
      <c r="B1887" s="389"/>
      <c r="C1887" s="390"/>
      <c r="D1887" s="390"/>
      <c r="E1887" s="390"/>
      <c r="F1887" s="390"/>
      <c r="G1887" s="390"/>
      <c r="H1887" s="98"/>
    </row>
    <row r="1888" spans="1:8" ht="18.75" customHeight="1">
      <c r="A1888" s="580" t="s">
        <v>168</v>
      </c>
      <c r="B1888" s="580"/>
      <c r="C1888" s="580"/>
      <c r="D1888" s="580"/>
      <c r="E1888" s="580"/>
      <c r="F1888" s="580"/>
      <c r="G1888" s="580"/>
      <c r="H1888" s="580"/>
    </row>
    <row r="1891" ht="15.75">
      <c r="H1891" s="6" t="s">
        <v>113</v>
      </c>
    </row>
    <row r="1892" ht="15.75">
      <c r="H1892" s="6" t="s">
        <v>114</v>
      </c>
    </row>
    <row r="1893" ht="15.75">
      <c r="H1893" s="6" t="s">
        <v>115</v>
      </c>
    </row>
    <row r="1894" ht="15.75">
      <c r="H1894" s="6"/>
    </row>
    <row r="1895" spans="1:8" ht="18.75" customHeight="1">
      <c r="A1895" s="622" t="s">
        <v>116</v>
      </c>
      <c r="B1895" s="622"/>
      <c r="C1895" s="622"/>
      <c r="D1895" s="622"/>
      <c r="E1895" s="622"/>
      <c r="F1895" s="622"/>
      <c r="G1895" s="622"/>
      <c r="H1895" s="622"/>
    </row>
    <row r="1896" spans="1:8" ht="18.75" customHeight="1">
      <c r="A1896" s="622" t="s">
        <v>117</v>
      </c>
      <c r="B1896" s="622"/>
      <c r="C1896" s="622"/>
      <c r="D1896" s="622"/>
      <c r="E1896" s="622"/>
      <c r="F1896" s="622"/>
      <c r="G1896" s="622"/>
      <c r="H1896" s="622"/>
    </row>
    <row r="1897" ht="15.75">
      <c r="H1897" s="6" t="s">
        <v>562</v>
      </c>
    </row>
    <row r="1898" ht="15.75">
      <c r="H1898" s="6" t="s">
        <v>769</v>
      </c>
    </row>
    <row r="1899" ht="15.75">
      <c r="H1899" s="6" t="s">
        <v>770</v>
      </c>
    </row>
    <row r="1900" ht="15.75">
      <c r="H1900" s="361" t="str">
        <f>H11</f>
        <v>                         Добровольский К.А.</v>
      </c>
    </row>
    <row r="1901" ht="15.75">
      <c r="H1901" s="6" t="s">
        <v>772</v>
      </c>
    </row>
    <row r="1902" ht="15.75">
      <c r="H1902" s="6" t="s">
        <v>567</v>
      </c>
    </row>
    <row r="1903" ht="15.75">
      <c r="A1903" s="362"/>
    </row>
    <row r="1904" ht="15.75">
      <c r="A1904" s="3" t="s">
        <v>269</v>
      </c>
    </row>
    <row r="1905" spans="1:8" ht="18.75" customHeight="1">
      <c r="A1905" s="623" t="s">
        <v>120</v>
      </c>
      <c r="B1905" s="623"/>
      <c r="C1905" s="623"/>
      <c r="D1905" s="623"/>
      <c r="E1905" s="623"/>
      <c r="F1905" s="623"/>
      <c r="G1905" s="623"/>
      <c r="H1905" s="623"/>
    </row>
    <row r="1906" spans="1:8" ht="15.75">
      <c r="A1906" s="364"/>
      <c r="B1906" s="364"/>
      <c r="C1906" s="366"/>
      <c r="D1906" s="366"/>
      <c r="E1906" s="366"/>
      <c r="F1906" s="366"/>
      <c r="G1906" s="366"/>
      <c r="H1906" s="366"/>
    </row>
    <row r="1907" spans="1:8" ht="16.5" customHeight="1">
      <c r="A1907" s="581" t="s">
        <v>121</v>
      </c>
      <c r="B1907" s="559" t="s">
        <v>122</v>
      </c>
      <c r="C1907" s="560" t="s">
        <v>123</v>
      </c>
      <c r="D1907" s="560"/>
      <c r="E1907" s="560"/>
      <c r="F1907" s="560"/>
      <c r="G1907" s="561" t="s">
        <v>124</v>
      </c>
      <c r="H1907" s="581" t="s">
        <v>125</v>
      </c>
    </row>
    <row r="1908" spans="1:8" ht="15.75">
      <c r="A1908" s="581"/>
      <c r="B1908" s="559"/>
      <c r="C1908" s="560"/>
      <c r="D1908" s="560"/>
      <c r="E1908" s="560"/>
      <c r="F1908" s="560"/>
      <c r="G1908" s="561"/>
      <c r="H1908" s="581"/>
    </row>
    <row r="1909" spans="1:8" ht="31.5">
      <c r="A1909" s="581"/>
      <c r="B1909" s="559"/>
      <c r="C1909" s="369" t="s">
        <v>126</v>
      </c>
      <c r="D1909" s="369" t="s">
        <v>127</v>
      </c>
      <c r="E1909" s="370" t="s">
        <v>126</v>
      </c>
      <c r="F1909" s="371" t="s">
        <v>127</v>
      </c>
      <c r="G1909" s="561"/>
      <c r="H1909" s="581"/>
    </row>
    <row r="1910" spans="1:8" ht="15.75">
      <c r="A1910" s="367">
        <v>1</v>
      </c>
      <c r="B1910" s="367">
        <v>2</v>
      </c>
      <c r="C1910" s="372">
        <v>3</v>
      </c>
      <c r="D1910" s="372">
        <v>4</v>
      </c>
      <c r="E1910" s="373"/>
      <c r="F1910" s="374"/>
      <c r="G1910" s="368">
        <v>5</v>
      </c>
      <c r="H1910" s="367">
        <v>6</v>
      </c>
    </row>
    <row r="1911" spans="1:8" ht="18.75" customHeight="1">
      <c r="A1911" s="375">
        <v>1</v>
      </c>
      <c r="B1911" s="582" t="s">
        <v>128</v>
      </c>
      <c r="C1911" s="582"/>
      <c r="D1911" s="582"/>
      <c r="E1911" s="582"/>
      <c r="F1911" s="582"/>
      <c r="G1911" s="582"/>
      <c r="H1911" s="582"/>
    </row>
    <row r="1912" spans="1:8" ht="15.75">
      <c r="A1912" s="376" t="s">
        <v>594</v>
      </c>
      <c r="B1912" s="377" t="s">
        <v>129</v>
      </c>
      <c r="C1912" s="378" t="s">
        <v>26</v>
      </c>
      <c r="D1912" s="378" t="s">
        <v>26</v>
      </c>
      <c r="E1912" s="378" t="s">
        <v>26</v>
      </c>
      <c r="F1912" s="378" t="s">
        <v>26</v>
      </c>
      <c r="G1912" s="378" t="s">
        <v>26</v>
      </c>
      <c r="H1912" s="379" t="s">
        <v>130</v>
      </c>
    </row>
    <row r="1913" spans="1:8" ht="15.75">
      <c r="A1913" s="376" t="s">
        <v>735</v>
      </c>
      <c r="B1913" s="377" t="s">
        <v>131</v>
      </c>
      <c r="C1913" s="378" t="s">
        <v>26</v>
      </c>
      <c r="D1913" s="378" t="s">
        <v>26</v>
      </c>
      <c r="E1913" s="378" t="s">
        <v>26</v>
      </c>
      <c r="F1913" s="378" t="s">
        <v>26</v>
      </c>
      <c r="G1913" s="378" t="s">
        <v>26</v>
      </c>
      <c r="H1913" s="379" t="s">
        <v>130</v>
      </c>
    </row>
    <row r="1914" spans="1:8" ht="31.5">
      <c r="A1914" s="376" t="s">
        <v>737</v>
      </c>
      <c r="B1914" s="381" t="s">
        <v>132</v>
      </c>
      <c r="C1914" s="566" t="s">
        <v>88</v>
      </c>
      <c r="D1914" s="566" t="s">
        <v>89</v>
      </c>
      <c r="E1914" s="378" t="s">
        <v>26</v>
      </c>
      <c r="F1914" s="378" t="s">
        <v>26</v>
      </c>
      <c r="G1914" s="378" t="s">
        <v>26</v>
      </c>
      <c r="H1914" s="379" t="s">
        <v>130</v>
      </c>
    </row>
    <row r="1915" spans="1:8" ht="47.25">
      <c r="A1915" s="376" t="s">
        <v>739</v>
      </c>
      <c r="B1915" s="381" t="s">
        <v>133</v>
      </c>
      <c r="C1915" s="566" t="s">
        <v>90</v>
      </c>
      <c r="D1915" s="566" t="s">
        <v>91</v>
      </c>
      <c r="E1915" s="378" t="s">
        <v>26</v>
      </c>
      <c r="F1915" s="378" t="s">
        <v>26</v>
      </c>
      <c r="G1915" s="378" t="s">
        <v>26</v>
      </c>
      <c r="H1915" s="379" t="s">
        <v>130</v>
      </c>
    </row>
    <row r="1916" spans="1:8" ht="15.75">
      <c r="A1916" s="376" t="s">
        <v>852</v>
      </c>
      <c r="B1916" s="382" t="s">
        <v>134</v>
      </c>
      <c r="C1916" s="566" t="s">
        <v>92</v>
      </c>
      <c r="D1916" s="566" t="s">
        <v>93</v>
      </c>
      <c r="E1916" s="378" t="s">
        <v>26</v>
      </c>
      <c r="F1916" s="378" t="s">
        <v>26</v>
      </c>
      <c r="G1916" s="378" t="s">
        <v>26</v>
      </c>
      <c r="H1916" s="379" t="s">
        <v>130</v>
      </c>
    </row>
    <row r="1917" spans="1:8" ht="15.75">
      <c r="A1917" s="376" t="s">
        <v>853</v>
      </c>
      <c r="B1917" s="382" t="s">
        <v>135</v>
      </c>
      <c r="C1917" s="566" t="s">
        <v>88</v>
      </c>
      <c r="D1917" s="566" t="s">
        <v>234</v>
      </c>
      <c r="E1917" s="378" t="s">
        <v>26</v>
      </c>
      <c r="F1917" s="378" t="s">
        <v>26</v>
      </c>
      <c r="G1917" s="378" t="s">
        <v>26</v>
      </c>
      <c r="H1917" s="379" t="s">
        <v>130</v>
      </c>
    </row>
    <row r="1918" spans="1:8" ht="18.75" customHeight="1">
      <c r="A1918" s="376">
        <v>2</v>
      </c>
      <c r="B1918" s="579" t="s">
        <v>136</v>
      </c>
      <c r="C1918" s="579"/>
      <c r="D1918" s="579"/>
      <c r="E1918" s="579"/>
      <c r="F1918" s="579"/>
      <c r="G1918" s="579"/>
      <c r="H1918" s="579"/>
    </row>
    <row r="1919" spans="1:8" ht="31.5">
      <c r="A1919" s="376" t="s">
        <v>743</v>
      </c>
      <c r="B1919" s="381" t="s">
        <v>137</v>
      </c>
      <c r="C1919" s="378" t="s">
        <v>239</v>
      </c>
      <c r="D1919" s="378" t="s">
        <v>245</v>
      </c>
      <c r="E1919" s="378" t="s">
        <v>26</v>
      </c>
      <c r="F1919" s="378" t="s">
        <v>26</v>
      </c>
      <c r="G1919" s="383">
        <v>0</v>
      </c>
      <c r="H1919" s="379"/>
    </row>
    <row r="1920" spans="1:8" ht="47.25">
      <c r="A1920" s="376" t="s">
        <v>746</v>
      </c>
      <c r="B1920" s="381" t="s">
        <v>140</v>
      </c>
      <c r="C1920" s="378" t="s">
        <v>26</v>
      </c>
      <c r="D1920" s="378" t="s">
        <v>26</v>
      </c>
      <c r="E1920" s="378" t="s">
        <v>26</v>
      </c>
      <c r="F1920" s="378" t="s">
        <v>26</v>
      </c>
      <c r="G1920" s="378" t="s">
        <v>26</v>
      </c>
      <c r="H1920" s="379" t="s">
        <v>130</v>
      </c>
    </row>
    <row r="1921" spans="1:8" ht="31.5">
      <c r="A1921" s="376" t="s">
        <v>141</v>
      </c>
      <c r="B1921" s="381" t="s">
        <v>142</v>
      </c>
      <c r="C1921" s="378" t="s">
        <v>26</v>
      </c>
      <c r="D1921" s="378" t="s">
        <v>26</v>
      </c>
      <c r="E1921" s="378" t="s">
        <v>26</v>
      </c>
      <c r="F1921" s="378" t="s">
        <v>26</v>
      </c>
      <c r="G1921" s="378" t="s">
        <v>26</v>
      </c>
      <c r="H1921" s="379" t="s">
        <v>130</v>
      </c>
    </row>
    <row r="1922" spans="1:8" ht="18.75" customHeight="1">
      <c r="A1922" s="376">
        <v>3</v>
      </c>
      <c r="B1922" s="579" t="s">
        <v>184</v>
      </c>
      <c r="C1922" s="579"/>
      <c r="D1922" s="579"/>
      <c r="E1922" s="579"/>
      <c r="F1922" s="579"/>
      <c r="G1922" s="579"/>
      <c r="H1922" s="579"/>
    </row>
    <row r="1923" spans="1:8" ht="31.5">
      <c r="A1923" s="376" t="s">
        <v>756</v>
      </c>
      <c r="B1923" s="382" t="s">
        <v>144</v>
      </c>
      <c r="C1923" s="378" t="s">
        <v>26</v>
      </c>
      <c r="D1923" s="378" t="s">
        <v>26</v>
      </c>
      <c r="E1923" s="378" t="s">
        <v>26</v>
      </c>
      <c r="F1923" s="378" t="s">
        <v>26</v>
      </c>
      <c r="G1923" s="378" t="s">
        <v>26</v>
      </c>
      <c r="H1923" s="379" t="s">
        <v>130</v>
      </c>
    </row>
    <row r="1924" spans="1:8" ht="15.75">
      <c r="A1924" s="376" t="s">
        <v>757</v>
      </c>
      <c r="B1924" s="382" t="s">
        <v>145</v>
      </c>
      <c r="C1924" s="378" t="s">
        <v>239</v>
      </c>
      <c r="D1924" s="378" t="s">
        <v>235</v>
      </c>
      <c r="E1924" s="378" t="s">
        <v>26</v>
      </c>
      <c r="F1924" s="378" t="s">
        <v>26</v>
      </c>
      <c r="G1924" s="383">
        <v>0</v>
      </c>
      <c r="H1924" s="379"/>
    </row>
    <row r="1925" spans="1:8" ht="15.75">
      <c r="A1925" s="376" t="s">
        <v>147</v>
      </c>
      <c r="B1925" s="382" t="s">
        <v>148</v>
      </c>
      <c r="C1925" s="378" t="s">
        <v>246</v>
      </c>
      <c r="D1925" s="378" t="s">
        <v>247</v>
      </c>
      <c r="E1925" s="378" t="s">
        <v>26</v>
      </c>
      <c r="F1925" s="378" t="s">
        <v>26</v>
      </c>
      <c r="G1925" s="383">
        <v>0</v>
      </c>
      <c r="H1925" s="379"/>
    </row>
    <row r="1926" spans="1:8" ht="15.75">
      <c r="A1926" s="376" t="s">
        <v>151</v>
      </c>
      <c r="B1926" s="382" t="s">
        <v>152</v>
      </c>
      <c r="C1926" s="378" t="s">
        <v>248</v>
      </c>
      <c r="D1926" s="378" t="s">
        <v>249</v>
      </c>
      <c r="E1926" s="378" t="s">
        <v>26</v>
      </c>
      <c r="F1926" s="378" t="s">
        <v>26</v>
      </c>
      <c r="G1926" s="383">
        <v>0</v>
      </c>
      <c r="H1926" s="379"/>
    </row>
    <row r="1927" spans="1:8" ht="15.75">
      <c r="A1927" s="376" t="s">
        <v>155</v>
      </c>
      <c r="B1927" s="382" t="s">
        <v>156</v>
      </c>
      <c r="C1927" s="378" t="s">
        <v>250</v>
      </c>
      <c r="D1927" s="378" t="s">
        <v>251</v>
      </c>
      <c r="E1927" s="378" t="s">
        <v>26</v>
      </c>
      <c r="F1927" s="378" t="s">
        <v>26</v>
      </c>
      <c r="G1927" s="383">
        <v>0</v>
      </c>
      <c r="H1927" s="379"/>
    </row>
    <row r="1928" spans="1:8" ht="18.75" customHeight="1">
      <c r="A1928" s="376">
        <v>4</v>
      </c>
      <c r="B1928" s="579" t="s">
        <v>159</v>
      </c>
      <c r="C1928" s="579"/>
      <c r="D1928" s="579"/>
      <c r="E1928" s="579"/>
      <c r="F1928" s="579"/>
      <c r="G1928" s="579"/>
      <c r="H1928" s="579"/>
    </row>
    <row r="1929" spans="1:8" ht="31.5">
      <c r="A1929" s="376" t="s">
        <v>160</v>
      </c>
      <c r="B1929" s="381" t="s">
        <v>161</v>
      </c>
      <c r="C1929" s="378" t="s">
        <v>26</v>
      </c>
      <c r="D1929" s="378" t="s">
        <v>26</v>
      </c>
      <c r="E1929" s="378" t="s">
        <v>26</v>
      </c>
      <c r="F1929" s="378" t="s">
        <v>26</v>
      </c>
      <c r="G1929" s="378" t="s">
        <v>26</v>
      </c>
      <c r="H1929" s="379" t="s">
        <v>130</v>
      </c>
    </row>
    <row r="1930" spans="1:8" ht="47.25">
      <c r="A1930" s="376" t="s">
        <v>162</v>
      </c>
      <c r="B1930" s="381" t="s">
        <v>163</v>
      </c>
      <c r="C1930" s="378" t="s">
        <v>26</v>
      </c>
      <c r="D1930" s="378" t="s">
        <v>26</v>
      </c>
      <c r="E1930" s="378" t="s">
        <v>26</v>
      </c>
      <c r="F1930" s="378" t="s">
        <v>26</v>
      </c>
      <c r="G1930" s="378" t="s">
        <v>26</v>
      </c>
      <c r="H1930" s="379" t="s">
        <v>130</v>
      </c>
    </row>
    <row r="1931" spans="1:8" ht="31.5">
      <c r="A1931" s="376" t="s">
        <v>164</v>
      </c>
      <c r="B1931" s="382" t="s">
        <v>165</v>
      </c>
      <c r="C1931" s="378" t="s">
        <v>26</v>
      </c>
      <c r="D1931" s="378" t="s">
        <v>26</v>
      </c>
      <c r="E1931" s="378" t="s">
        <v>26</v>
      </c>
      <c r="F1931" s="378" t="s">
        <v>26</v>
      </c>
      <c r="G1931" s="378" t="s">
        <v>26</v>
      </c>
      <c r="H1931" s="379" t="s">
        <v>130</v>
      </c>
    </row>
    <row r="1932" spans="1:8" ht="31.5">
      <c r="A1932" s="384" t="s">
        <v>166</v>
      </c>
      <c r="B1932" s="385" t="s">
        <v>167</v>
      </c>
      <c r="C1932" s="386" t="s">
        <v>26</v>
      </c>
      <c r="D1932" s="386" t="s">
        <v>26</v>
      </c>
      <c r="E1932" s="386" t="s">
        <v>26</v>
      </c>
      <c r="F1932" s="386" t="s">
        <v>26</v>
      </c>
      <c r="G1932" s="386" t="s">
        <v>26</v>
      </c>
      <c r="H1932" s="387" t="s">
        <v>130</v>
      </c>
    </row>
    <row r="1933" spans="1:8" ht="15.75">
      <c r="A1933" s="388"/>
      <c r="B1933" s="389"/>
      <c r="C1933" s="390"/>
      <c r="D1933" s="390"/>
      <c r="E1933" s="390"/>
      <c r="F1933" s="390"/>
      <c r="G1933" s="390"/>
      <c r="H1933" s="98"/>
    </row>
    <row r="1934" spans="1:8" ht="18.75" customHeight="1">
      <c r="A1934" s="580" t="s">
        <v>168</v>
      </c>
      <c r="B1934" s="580"/>
      <c r="C1934" s="580"/>
      <c r="D1934" s="580"/>
      <c r="E1934" s="580"/>
      <c r="F1934" s="580"/>
      <c r="G1934" s="580"/>
      <c r="H1934" s="580"/>
    </row>
    <row r="1937" ht="15.75">
      <c r="H1937" s="6" t="s">
        <v>113</v>
      </c>
    </row>
    <row r="1938" ht="15.75">
      <c r="H1938" s="6" t="s">
        <v>114</v>
      </c>
    </row>
    <row r="1939" ht="15.75">
      <c r="H1939" s="6" t="s">
        <v>115</v>
      </c>
    </row>
    <row r="1940" ht="15.75">
      <c r="H1940" s="6"/>
    </row>
    <row r="1941" spans="1:8" ht="18.75" customHeight="1">
      <c r="A1941" s="622" t="s">
        <v>116</v>
      </c>
      <c r="B1941" s="622"/>
      <c r="C1941" s="622"/>
      <c r="D1941" s="622"/>
      <c r="E1941" s="622"/>
      <c r="F1941" s="622"/>
      <c r="G1941" s="622"/>
      <c r="H1941" s="622"/>
    </row>
    <row r="1942" spans="1:8" ht="18.75" customHeight="1">
      <c r="A1942" s="622" t="s">
        <v>117</v>
      </c>
      <c r="B1942" s="622"/>
      <c r="C1942" s="622"/>
      <c r="D1942" s="622"/>
      <c r="E1942" s="622"/>
      <c r="F1942" s="622"/>
      <c r="G1942" s="622"/>
      <c r="H1942" s="622"/>
    </row>
    <row r="1943" ht="15.75">
      <c r="H1943" s="6" t="s">
        <v>562</v>
      </c>
    </row>
    <row r="1944" ht="15.75">
      <c r="H1944" s="6" t="s">
        <v>769</v>
      </c>
    </row>
    <row r="1945" ht="15.75">
      <c r="H1945" s="6" t="s">
        <v>770</v>
      </c>
    </row>
    <row r="1946" ht="15.75">
      <c r="H1946" s="361" t="str">
        <f>H11</f>
        <v>                         Добровольский К.А.</v>
      </c>
    </row>
    <row r="1947" ht="15.75">
      <c r="H1947" s="6" t="s">
        <v>772</v>
      </c>
    </row>
    <row r="1948" ht="15.75">
      <c r="H1948" s="6" t="s">
        <v>567</v>
      </c>
    </row>
    <row r="1949" ht="15.75">
      <c r="A1949" s="362"/>
    </row>
    <row r="1950" ht="15.75">
      <c r="A1950" s="3" t="s">
        <v>270</v>
      </c>
    </row>
    <row r="1951" spans="1:8" ht="18.75" customHeight="1">
      <c r="A1951" s="623" t="s">
        <v>120</v>
      </c>
      <c r="B1951" s="623"/>
      <c r="C1951" s="623"/>
      <c r="D1951" s="623"/>
      <c r="E1951" s="623"/>
      <c r="F1951" s="623"/>
      <c r="G1951" s="623"/>
      <c r="H1951" s="623"/>
    </row>
    <row r="1952" spans="1:8" ht="15.75">
      <c r="A1952" s="364"/>
      <c r="B1952" s="364"/>
      <c r="C1952" s="366"/>
      <c r="D1952" s="366"/>
      <c r="E1952" s="366"/>
      <c r="F1952" s="366"/>
      <c r="G1952" s="366"/>
      <c r="H1952" s="366"/>
    </row>
    <row r="1953" spans="1:8" ht="16.5" customHeight="1">
      <c r="A1953" s="581" t="s">
        <v>121</v>
      </c>
      <c r="B1953" s="559" t="s">
        <v>122</v>
      </c>
      <c r="C1953" s="560" t="s">
        <v>123</v>
      </c>
      <c r="D1953" s="560"/>
      <c r="E1953" s="560"/>
      <c r="F1953" s="560"/>
      <c r="G1953" s="561" t="s">
        <v>124</v>
      </c>
      <c r="H1953" s="581" t="s">
        <v>125</v>
      </c>
    </row>
    <row r="1954" spans="1:8" ht="15.75">
      <c r="A1954" s="581"/>
      <c r="B1954" s="559"/>
      <c r="C1954" s="560"/>
      <c r="D1954" s="560"/>
      <c r="E1954" s="560"/>
      <c r="F1954" s="560"/>
      <c r="G1954" s="561"/>
      <c r="H1954" s="581"/>
    </row>
    <row r="1955" spans="1:8" ht="31.5">
      <c r="A1955" s="581"/>
      <c r="B1955" s="559"/>
      <c r="C1955" s="369" t="s">
        <v>126</v>
      </c>
      <c r="D1955" s="369" t="s">
        <v>127</v>
      </c>
      <c r="E1955" s="370" t="s">
        <v>126</v>
      </c>
      <c r="F1955" s="371" t="s">
        <v>127</v>
      </c>
      <c r="G1955" s="561"/>
      <c r="H1955" s="581"/>
    </row>
    <row r="1956" spans="1:8" ht="15.75">
      <c r="A1956" s="367">
        <v>1</v>
      </c>
      <c r="B1956" s="367">
        <v>2</v>
      </c>
      <c r="C1956" s="372">
        <v>3</v>
      </c>
      <c r="D1956" s="372">
        <v>4</v>
      </c>
      <c r="E1956" s="373"/>
      <c r="F1956" s="374"/>
      <c r="G1956" s="368">
        <v>5</v>
      </c>
      <c r="H1956" s="367">
        <v>6</v>
      </c>
    </row>
    <row r="1957" spans="1:8" ht="18.75" customHeight="1">
      <c r="A1957" s="375">
        <v>1</v>
      </c>
      <c r="B1957" s="582" t="s">
        <v>128</v>
      </c>
      <c r="C1957" s="582"/>
      <c r="D1957" s="582"/>
      <c r="E1957" s="582"/>
      <c r="F1957" s="582"/>
      <c r="G1957" s="582"/>
      <c r="H1957" s="582"/>
    </row>
    <row r="1958" spans="1:8" ht="15.75">
      <c r="A1958" s="376" t="s">
        <v>594</v>
      </c>
      <c r="B1958" s="377" t="s">
        <v>129</v>
      </c>
      <c r="C1958" s="378" t="s">
        <v>26</v>
      </c>
      <c r="D1958" s="378" t="s">
        <v>26</v>
      </c>
      <c r="E1958" s="378" t="s">
        <v>26</v>
      </c>
      <c r="F1958" s="378" t="s">
        <v>26</v>
      </c>
      <c r="G1958" s="378" t="s">
        <v>26</v>
      </c>
      <c r="H1958" s="379" t="s">
        <v>130</v>
      </c>
    </row>
    <row r="1959" spans="1:8" ht="15.75">
      <c r="A1959" s="376" t="s">
        <v>735</v>
      </c>
      <c r="B1959" s="377" t="s">
        <v>131</v>
      </c>
      <c r="C1959" s="378" t="s">
        <v>26</v>
      </c>
      <c r="D1959" s="378" t="s">
        <v>26</v>
      </c>
      <c r="E1959" s="378" t="s">
        <v>26</v>
      </c>
      <c r="F1959" s="378" t="s">
        <v>26</v>
      </c>
      <c r="G1959" s="378" t="s">
        <v>26</v>
      </c>
      <c r="H1959" s="379" t="s">
        <v>130</v>
      </c>
    </row>
    <row r="1960" spans="1:8" ht="31.5">
      <c r="A1960" s="376" t="s">
        <v>737</v>
      </c>
      <c r="B1960" s="381" t="s">
        <v>132</v>
      </c>
      <c r="C1960" s="566" t="s">
        <v>88</v>
      </c>
      <c r="D1960" s="566" t="s">
        <v>89</v>
      </c>
      <c r="E1960" s="378" t="s">
        <v>26</v>
      </c>
      <c r="F1960" s="378" t="s">
        <v>26</v>
      </c>
      <c r="G1960" s="378" t="s">
        <v>26</v>
      </c>
      <c r="H1960" s="379" t="s">
        <v>130</v>
      </c>
    </row>
    <row r="1961" spans="1:8" ht="47.25">
      <c r="A1961" s="376" t="s">
        <v>739</v>
      </c>
      <c r="B1961" s="381" t="s">
        <v>133</v>
      </c>
      <c r="C1961" s="566" t="s">
        <v>90</v>
      </c>
      <c r="D1961" s="566" t="s">
        <v>91</v>
      </c>
      <c r="E1961" s="378" t="s">
        <v>26</v>
      </c>
      <c r="F1961" s="378" t="s">
        <v>26</v>
      </c>
      <c r="G1961" s="378" t="s">
        <v>26</v>
      </c>
      <c r="H1961" s="379" t="s">
        <v>130</v>
      </c>
    </row>
    <row r="1962" spans="1:8" ht="15.75">
      <c r="A1962" s="376" t="s">
        <v>852</v>
      </c>
      <c r="B1962" s="382" t="s">
        <v>134</v>
      </c>
      <c r="C1962" s="566" t="s">
        <v>92</v>
      </c>
      <c r="D1962" s="566" t="s">
        <v>93</v>
      </c>
      <c r="E1962" s="378" t="s">
        <v>26</v>
      </c>
      <c r="F1962" s="378" t="s">
        <v>26</v>
      </c>
      <c r="G1962" s="378" t="s">
        <v>26</v>
      </c>
      <c r="H1962" s="379" t="s">
        <v>130</v>
      </c>
    </row>
    <row r="1963" spans="1:8" ht="15.75">
      <c r="A1963" s="376" t="s">
        <v>853</v>
      </c>
      <c r="B1963" s="382" t="s">
        <v>135</v>
      </c>
      <c r="C1963" s="566" t="s">
        <v>88</v>
      </c>
      <c r="D1963" s="566" t="s">
        <v>234</v>
      </c>
      <c r="E1963" s="378" t="s">
        <v>26</v>
      </c>
      <c r="F1963" s="378" t="s">
        <v>26</v>
      </c>
      <c r="G1963" s="378" t="s">
        <v>26</v>
      </c>
      <c r="H1963" s="379" t="s">
        <v>130</v>
      </c>
    </row>
    <row r="1964" spans="1:8" ht="18.75" customHeight="1">
      <c r="A1964" s="376">
        <v>2</v>
      </c>
      <c r="B1964" s="579" t="s">
        <v>136</v>
      </c>
      <c r="C1964" s="579"/>
      <c r="D1964" s="579"/>
      <c r="E1964" s="579"/>
      <c r="F1964" s="579"/>
      <c r="G1964" s="579"/>
      <c r="H1964" s="579"/>
    </row>
    <row r="1965" spans="1:8" ht="31.5">
      <c r="A1965" s="376" t="s">
        <v>743</v>
      </c>
      <c r="B1965" s="381" t="s">
        <v>137</v>
      </c>
      <c r="C1965" s="378" t="s">
        <v>239</v>
      </c>
      <c r="D1965" s="378" t="s">
        <v>245</v>
      </c>
      <c r="E1965" s="378" t="s">
        <v>26</v>
      </c>
      <c r="F1965" s="378" t="s">
        <v>26</v>
      </c>
      <c r="G1965" s="383">
        <v>0</v>
      </c>
      <c r="H1965" s="379"/>
    </row>
    <row r="1966" spans="1:8" ht="47.25">
      <c r="A1966" s="376" t="s">
        <v>746</v>
      </c>
      <c r="B1966" s="381" t="s">
        <v>140</v>
      </c>
      <c r="C1966" s="378" t="s">
        <v>26</v>
      </c>
      <c r="D1966" s="378" t="s">
        <v>26</v>
      </c>
      <c r="E1966" s="378" t="s">
        <v>26</v>
      </c>
      <c r="F1966" s="378" t="s">
        <v>26</v>
      </c>
      <c r="G1966" s="378" t="s">
        <v>26</v>
      </c>
      <c r="H1966" s="379" t="s">
        <v>130</v>
      </c>
    </row>
    <row r="1967" spans="1:8" ht="31.5">
      <c r="A1967" s="376" t="s">
        <v>141</v>
      </c>
      <c r="B1967" s="381" t="s">
        <v>142</v>
      </c>
      <c r="C1967" s="378" t="s">
        <v>26</v>
      </c>
      <c r="D1967" s="378" t="s">
        <v>26</v>
      </c>
      <c r="E1967" s="378" t="s">
        <v>26</v>
      </c>
      <c r="F1967" s="378" t="s">
        <v>26</v>
      </c>
      <c r="G1967" s="378" t="s">
        <v>26</v>
      </c>
      <c r="H1967" s="379" t="s">
        <v>130</v>
      </c>
    </row>
    <row r="1968" spans="1:8" ht="18.75" customHeight="1">
      <c r="A1968" s="376">
        <v>3</v>
      </c>
      <c r="B1968" s="579" t="s">
        <v>184</v>
      </c>
      <c r="C1968" s="579"/>
      <c r="D1968" s="579"/>
      <c r="E1968" s="579"/>
      <c r="F1968" s="579"/>
      <c r="G1968" s="579"/>
      <c r="H1968" s="579"/>
    </row>
    <row r="1969" spans="1:8" ht="31.5">
      <c r="A1969" s="376" t="s">
        <v>756</v>
      </c>
      <c r="B1969" s="382" t="s">
        <v>144</v>
      </c>
      <c r="C1969" s="378" t="s">
        <v>26</v>
      </c>
      <c r="D1969" s="378" t="s">
        <v>26</v>
      </c>
      <c r="E1969" s="378" t="s">
        <v>26</v>
      </c>
      <c r="F1969" s="378" t="s">
        <v>26</v>
      </c>
      <c r="G1969" s="378" t="s">
        <v>26</v>
      </c>
      <c r="H1969" s="379" t="s">
        <v>130</v>
      </c>
    </row>
    <row r="1970" spans="1:8" ht="15.75">
      <c r="A1970" s="376" t="s">
        <v>757</v>
      </c>
      <c r="B1970" s="382" t="s">
        <v>145</v>
      </c>
      <c r="C1970" s="378" t="s">
        <v>239</v>
      </c>
      <c r="D1970" s="378" t="s">
        <v>235</v>
      </c>
      <c r="E1970" s="378" t="s">
        <v>26</v>
      </c>
      <c r="F1970" s="378" t="s">
        <v>26</v>
      </c>
      <c r="G1970" s="383">
        <v>0</v>
      </c>
      <c r="H1970" s="379"/>
    </row>
    <row r="1971" spans="1:8" ht="15.75">
      <c r="A1971" s="376" t="s">
        <v>147</v>
      </c>
      <c r="B1971" s="382" t="s">
        <v>148</v>
      </c>
      <c r="C1971" s="378" t="s">
        <v>246</v>
      </c>
      <c r="D1971" s="378" t="s">
        <v>247</v>
      </c>
      <c r="E1971" s="378" t="s">
        <v>26</v>
      </c>
      <c r="F1971" s="378" t="s">
        <v>26</v>
      </c>
      <c r="G1971" s="383">
        <v>0</v>
      </c>
      <c r="H1971" s="379"/>
    </row>
    <row r="1972" spans="1:8" ht="15.75">
      <c r="A1972" s="376" t="s">
        <v>151</v>
      </c>
      <c r="B1972" s="382" t="s">
        <v>152</v>
      </c>
      <c r="C1972" s="378" t="s">
        <v>248</v>
      </c>
      <c r="D1972" s="378" t="s">
        <v>249</v>
      </c>
      <c r="E1972" s="378" t="s">
        <v>26</v>
      </c>
      <c r="F1972" s="378" t="s">
        <v>26</v>
      </c>
      <c r="G1972" s="383">
        <v>0</v>
      </c>
      <c r="H1972" s="379"/>
    </row>
    <row r="1973" spans="1:8" ht="15.75">
      <c r="A1973" s="376" t="s">
        <v>155</v>
      </c>
      <c r="B1973" s="382" t="s">
        <v>156</v>
      </c>
      <c r="C1973" s="378" t="s">
        <v>250</v>
      </c>
      <c r="D1973" s="378" t="s">
        <v>251</v>
      </c>
      <c r="E1973" s="378" t="s">
        <v>26</v>
      </c>
      <c r="F1973" s="378" t="s">
        <v>26</v>
      </c>
      <c r="G1973" s="383">
        <v>0</v>
      </c>
      <c r="H1973" s="379"/>
    </row>
    <row r="1974" spans="1:8" ht="18.75" customHeight="1">
      <c r="A1974" s="376">
        <v>4</v>
      </c>
      <c r="B1974" s="579" t="s">
        <v>159</v>
      </c>
      <c r="C1974" s="579"/>
      <c r="D1974" s="579"/>
      <c r="E1974" s="579"/>
      <c r="F1974" s="579"/>
      <c r="G1974" s="579"/>
      <c r="H1974" s="579"/>
    </row>
    <row r="1975" spans="1:8" ht="31.5">
      <c r="A1975" s="376" t="s">
        <v>160</v>
      </c>
      <c r="B1975" s="381" t="s">
        <v>161</v>
      </c>
      <c r="C1975" s="378" t="s">
        <v>26</v>
      </c>
      <c r="D1975" s="378" t="s">
        <v>26</v>
      </c>
      <c r="E1975" s="378" t="s">
        <v>26</v>
      </c>
      <c r="F1975" s="378" t="s">
        <v>26</v>
      </c>
      <c r="G1975" s="378" t="s">
        <v>26</v>
      </c>
      <c r="H1975" s="379" t="s">
        <v>130</v>
      </c>
    </row>
    <row r="1976" spans="1:8" ht="47.25">
      <c r="A1976" s="376" t="s">
        <v>162</v>
      </c>
      <c r="B1976" s="381" t="s">
        <v>163</v>
      </c>
      <c r="C1976" s="378" t="s">
        <v>26</v>
      </c>
      <c r="D1976" s="378" t="s">
        <v>26</v>
      </c>
      <c r="E1976" s="378" t="s">
        <v>26</v>
      </c>
      <c r="F1976" s="378" t="s">
        <v>26</v>
      </c>
      <c r="G1976" s="378" t="s">
        <v>26</v>
      </c>
      <c r="H1976" s="379" t="s">
        <v>130</v>
      </c>
    </row>
    <row r="1977" spans="1:8" ht="31.5">
      <c r="A1977" s="376" t="s">
        <v>164</v>
      </c>
      <c r="B1977" s="382" t="s">
        <v>165</v>
      </c>
      <c r="C1977" s="378" t="s">
        <v>26</v>
      </c>
      <c r="D1977" s="378" t="s">
        <v>26</v>
      </c>
      <c r="E1977" s="378" t="s">
        <v>26</v>
      </c>
      <c r="F1977" s="378" t="s">
        <v>26</v>
      </c>
      <c r="G1977" s="378" t="s">
        <v>26</v>
      </c>
      <c r="H1977" s="379" t="s">
        <v>130</v>
      </c>
    </row>
    <row r="1978" spans="1:8" ht="31.5">
      <c r="A1978" s="384" t="s">
        <v>166</v>
      </c>
      <c r="B1978" s="385" t="s">
        <v>167</v>
      </c>
      <c r="C1978" s="386" t="s">
        <v>26</v>
      </c>
      <c r="D1978" s="386" t="s">
        <v>26</v>
      </c>
      <c r="E1978" s="386" t="s">
        <v>26</v>
      </c>
      <c r="F1978" s="386" t="s">
        <v>26</v>
      </c>
      <c r="G1978" s="386" t="s">
        <v>26</v>
      </c>
      <c r="H1978" s="387" t="s">
        <v>130</v>
      </c>
    </row>
    <row r="1979" spans="1:8" ht="15.75">
      <c r="A1979" s="388"/>
      <c r="B1979" s="389"/>
      <c r="C1979" s="390"/>
      <c r="D1979" s="390"/>
      <c r="E1979" s="390"/>
      <c r="F1979" s="390"/>
      <c r="G1979" s="390"/>
      <c r="H1979" s="98"/>
    </row>
    <row r="1980" spans="1:8" ht="18.75" customHeight="1">
      <c r="A1980" s="580" t="s">
        <v>168</v>
      </c>
      <c r="B1980" s="580"/>
      <c r="C1980" s="580"/>
      <c r="D1980" s="580"/>
      <c r="E1980" s="580"/>
      <c r="F1980" s="580"/>
      <c r="G1980" s="580"/>
      <c r="H1980" s="580"/>
    </row>
    <row r="1983" ht="15.75">
      <c r="H1983" s="6" t="s">
        <v>113</v>
      </c>
    </row>
    <row r="1984" ht="15.75">
      <c r="H1984" s="6" t="s">
        <v>114</v>
      </c>
    </row>
    <row r="1985" ht="15.75">
      <c r="H1985" s="6" t="s">
        <v>115</v>
      </c>
    </row>
    <row r="1986" ht="15.75">
      <c r="H1986" s="6"/>
    </row>
    <row r="1987" spans="1:8" ht="18.75" customHeight="1">
      <c r="A1987" s="622" t="s">
        <v>116</v>
      </c>
      <c r="B1987" s="622"/>
      <c r="C1987" s="622"/>
      <c r="D1987" s="622"/>
      <c r="E1987" s="622"/>
      <c r="F1987" s="622"/>
      <c r="G1987" s="622"/>
      <c r="H1987" s="622"/>
    </row>
    <row r="1988" spans="1:8" ht="18.75" customHeight="1">
      <c r="A1988" s="622" t="s">
        <v>117</v>
      </c>
      <c r="B1988" s="622"/>
      <c r="C1988" s="622"/>
      <c r="D1988" s="622"/>
      <c r="E1988" s="622"/>
      <c r="F1988" s="622"/>
      <c r="G1988" s="622"/>
      <c r="H1988" s="622"/>
    </row>
    <row r="1989" ht="15.75">
      <c r="H1989" s="6" t="s">
        <v>562</v>
      </c>
    </row>
    <row r="1990" ht="15.75">
      <c r="H1990" s="6" t="s">
        <v>769</v>
      </c>
    </row>
    <row r="1991" ht="15.75">
      <c r="H1991" s="6" t="s">
        <v>770</v>
      </c>
    </row>
    <row r="1992" ht="15.75">
      <c r="H1992" s="361" t="str">
        <f>H11</f>
        <v>                         Добровольский К.А.</v>
      </c>
    </row>
    <row r="1993" ht="15.75">
      <c r="H1993" s="6" t="s">
        <v>772</v>
      </c>
    </row>
    <row r="1994" ht="15.75">
      <c r="H1994" s="6" t="s">
        <v>567</v>
      </c>
    </row>
    <row r="1995" ht="15.75">
      <c r="A1995" s="362"/>
    </row>
    <row r="1996" ht="15.75">
      <c r="A1996" s="3" t="s">
        <v>271</v>
      </c>
    </row>
    <row r="1997" spans="1:8" ht="18.75" customHeight="1">
      <c r="A1997" s="623" t="s">
        <v>120</v>
      </c>
      <c r="B1997" s="623"/>
      <c r="C1997" s="623"/>
      <c r="D1997" s="623"/>
      <c r="E1997" s="623"/>
      <c r="F1997" s="623"/>
      <c r="G1997" s="623"/>
      <c r="H1997" s="623"/>
    </row>
    <row r="1998" spans="1:8" ht="15.75">
      <c r="A1998" s="364"/>
      <c r="B1998" s="364"/>
      <c r="C1998" s="366"/>
      <c r="D1998" s="366"/>
      <c r="E1998" s="366"/>
      <c r="F1998" s="366"/>
      <c r="G1998" s="366"/>
      <c r="H1998" s="366"/>
    </row>
    <row r="1999" spans="1:8" ht="16.5" customHeight="1">
      <c r="A1999" s="581" t="s">
        <v>121</v>
      </c>
      <c r="B1999" s="559" t="s">
        <v>122</v>
      </c>
      <c r="C1999" s="560" t="s">
        <v>123</v>
      </c>
      <c r="D1999" s="560"/>
      <c r="E1999" s="560"/>
      <c r="F1999" s="560"/>
      <c r="G1999" s="561" t="s">
        <v>124</v>
      </c>
      <c r="H1999" s="581" t="s">
        <v>125</v>
      </c>
    </row>
    <row r="2000" spans="1:8" ht="15.75">
      <c r="A2000" s="581"/>
      <c r="B2000" s="559"/>
      <c r="C2000" s="560"/>
      <c r="D2000" s="560"/>
      <c r="E2000" s="560"/>
      <c r="F2000" s="560"/>
      <c r="G2000" s="561"/>
      <c r="H2000" s="581"/>
    </row>
    <row r="2001" spans="1:8" ht="31.5">
      <c r="A2001" s="581"/>
      <c r="B2001" s="559"/>
      <c r="C2001" s="369" t="s">
        <v>126</v>
      </c>
      <c r="D2001" s="369" t="s">
        <v>127</v>
      </c>
      <c r="E2001" s="370" t="s">
        <v>126</v>
      </c>
      <c r="F2001" s="371" t="s">
        <v>127</v>
      </c>
      <c r="G2001" s="561"/>
      <c r="H2001" s="581"/>
    </row>
    <row r="2002" spans="1:8" ht="15.75">
      <c r="A2002" s="367">
        <v>1</v>
      </c>
      <c r="B2002" s="367">
        <v>2</v>
      </c>
      <c r="C2002" s="372">
        <v>3</v>
      </c>
      <c r="D2002" s="372">
        <v>4</v>
      </c>
      <c r="E2002" s="373"/>
      <c r="F2002" s="374"/>
      <c r="G2002" s="368">
        <v>5</v>
      </c>
      <c r="H2002" s="367">
        <v>6</v>
      </c>
    </row>
    <row r="2003" spans="1:8" ht="18.75" customHeight="1">
      <c r="A2003" s="375">
        <v>1</v>
      </c>
      <c r="B2003" s="582" t="s">
        <v>128</v>
      </c>
      <c r="C2003" s="582"/>
      <c r="D2003" s="582"/>
      <c r="E2003" s="582"/>
      <c r="F2003" s="582"/>
      <c r="G2003" s="582"/>
      <c r="H2003" s="582"/>
    </row>
    <row r="2004" spans="1:8" ht="15.75">
      <c r="A2004" s="376" t="s">
        <v>594</v>
      </c>
      <c r="B2004" s="377" t="s">
        <v>129</v>
      </c>
      <c r="C2004" s="378" t="s">
        <v>26</v>
      </c>
      <c r="D2004" s="378" t="s">
        <v>26</v>
      </c>
      <c r="E2004" s="378" t="s">
        <v>26</v>
      </c>
      <c r="F2004" s="378" t="s">
        <v>26</v>
      </c>
      <c r="G2004" s="378" t="s">
        <v>26</v>
      </c>
      <c r="H2004" s="379" t="s">
        <v>130</v>
      </c>
    </row>
    <row r="2005" spans="1:8" ht="15.75">
      <c r="A2005" s="376" t="s">
        <v>735</v>
      </c>
      <c r="B2005" s="377" t="s">
        <v>131</v>
      </c>
      <c r="C2005" s="378" t="s">
        <v>26</v>
      </c>
      <c r="D2005" s="378" t="s">
        <v>26</v>
      </c>
      <c r="E2005" s="378" t="s">
        <v>26</v>
      </c>
      <c r="F2005" s="378" t="s">
        <v>26</v>
      </c>
      <c r="G2005" s="378" t="s">
        <v>26</v>
      </c>
      <c r="H2005" s="379" t="s">
        <v>130</v>
      </c>
    </row>
    <row r="2006" spans="1:8" ht="31.5">
      <c r="A2006" s="376" t="s">
        <v>737</v>
      </c>
      <c r="B2006" s="381" t="s">
        <v>132</v>
      </c>
      <c r="C2006" s="566" t="s">
        <v>88</v>
      </c>
      <c r="D2006" s="566" t="s">
        <v>89</v>
      </c>
      <c r="E2006" s="378" t="s">
        <v>26</v>
      </c>
      <c r="F2006" s="378" t="s">
        <v>26</v>
      </c>
      <c r="G2006" s="378" t="s">
        <v>26</v>
      </c>
      <c r="H2006" s="379" t="s">
        <v>130</v>
      </c>
    </row>
    <row r="2007" spans="1:8" ht="47.25">
      <c r="A2007" s="376" t="s">
        <v>739</v>
      </c>
      <c r="B2007" s="381" t="s">
        <v>133</v>
      </c>
      <c r="C2007" s="566" t="s">
        <v>90</v>
      </c>
      <c r="D2007" s="566" t="s">
        <v>91</v>
      </c>
      <c r="E2007" s="378" t="s">
        <v>26</v>
      </c>
      <c r="F2007" s="378" t="s">
        <v>26</v>
      </c>
      <c r="G2007" s="378" t="s">
        <v>26</v>
      </c>
      <c r="H2007" s="379" t="s">
        <v>130</v>
      </c>
    </row>
    <row r="2008" spans="1:8" ht="15.75">
      <c r="A2008" s="376" t="s">
        <v>852</v>
      </c>
      <c r="B2008" s="382" t="s">
        <v>134</v>
      </c>
      <c r="C2008" s="566" t="s">
        <v>92</v>
      </c>
      <c r="D2008" s="566" t="s">
        <v>93</v>
      </c>
      <c r="E2008" s="378" t="s">
        <v>26</v>
      </c>
      <c r="F2008" s="378" t="s">
        <v>26</v>
      </c>
      <c r="G2008" s="378" t="s">
        <v>26</v>
      </c>
      <c r="H2008" s="379" t="s">
        <v>130</v>
      </c>
    </row>
    <row r="2009" spans="1:8" ht="15.75">
      <c r="A2009" s="376" t="s">
        <v>853</v>
      </c>
      <c r="B2009" s="382" t="s">
        <v>135</v>
      </c>
      <c r="C2009" s="566" t="s">
        <v>88</v>
      </c>
      <c r="D2009" s="566" t="s">
        <v>234</v>
      </c>
      <c r="E2009" s="378" t="s">
        <v>26</v>
      </c>
      <c r="F2009" s="378" t="s">
        <v>26</v>
      </c>
      <c r="G2009" s="378" t="s">
        <v>26</v>
      </c>
      <c r="H2009" s="379" t="s">
        <v>130</v>
      </c>
    </row>
    <row r="2010" spans="1:8" ht="18.75" customHeight="1">
      <c r="A2010" s="376">
        <v>2</v>
      </c>
      <c r="B2010" s="579" t="s">
        <v>136</v>
      </c>
      <c r="C2010" s="579"/>
      <c r="D2010" s="579"/>
      <c r="E2010" s="579"/>
      <c r="F2010" s="579"/>
      <c r="G2010" s="579"/>
      <c r="H2010" s="579"/>
    </row>
    <row r="2011" spans="1:8" ht="31.5">
      <c r="A2011" s="376" t="s">
        <v>743</v>
      </c>
      <c r="B2011" s="381" t="s">
        <v>137</v>
      </c>
      <c r="C2011" s="378" t="s">
        <v>239</v>
      </c>
      <c r="D2011" s="378" t="s">
        <v>245</v>
      </c>
      <c r="E2011" s="378" t="s">
        <v>26</v>
      </c>
      <c r="F2011" s="378" t="s">
        <v>26</v>
      </c>
      <c r="G2011" s="383">
        <v>0</v>
      </c>
      <c r="H2011" s="379"/>
    </row>
    <row r="2012" spans="1:8" ht="47.25">
      <c r="A2012" s="376" t="s">
        <v>746</v>
      </c>
      <c r="B2012" s="381" t="s">
        <v>140</v>
      </c>
      <c r="C2012" s="378" t="s">
        <v>26</v>
      </c>
      <c r="D2012" s="378" t="s">
        <v>26</v>
      </c>
      <c r="E2012" s="378" t="s">
        <v>26</v>
      </c>
      <c r="F2012" s="378" t="s">
        <v>26</v>
      </c>
      <c r="G2012" s="378" t="s">
        <v>26</v>
      </c>
      <c r="H2012" s="379" t="s">
        <v>130</v>
      </c>
    </row>
    <row r="2013" spans="1:8" ht="31.5">
      <c r="A2013" s="376" t="s">
        <v>141</v>
      </c>
      <c r="B2013" s="381" t="s">
        <v>142</v>
      </c>
      <c r="C2013" s="378" t="s">
        <v>26</v>
      </c>
      <c r="D2013" s="378" t="s">
        <v>26</v>
      </c>
      <c r="E2013" s="378" t="s">
        <v>26</v>
      </c>
      <c r="F2013" s="378" t="s">
        <v>26</v>
      </c>
      <c r="G2013" s="378" t="s">
        <v>26</v>
      </c>
      <c r="H2013" s="379" t="s">
        <v>130</v>
      </c>
    </row>
    <row r="2014" spans="1:8" ht="18.75" customHeight="1">
      <c r="A2014" s="376">
        <v>3</v>
      </c>
      <c r="B2014" s="579" t="s">
        <v>184</v>
      </c>
      <c r="C2014" s="579"/>
      <c r="D2014" s="579"/>
      <c r="E2014" s="579"/>
      <c r="F2014" s="579"/>
      <c r="G2014" s="579"/>
      <c r="H2014" s="579"/>
    </row>
    <row r="2015" spans="1:8" ht="31.5">
      <c r="A2015" s="376" t="s">
        <v>756</v>
      </c>
      <c r="B2015" s="382" t="s">
        <v>144</v>
      </c>
      <c r="C2015" s="378" t="s">
        <v>26</v>
      </c>
      <c r="D2015" s="378" t="s">
        <v>26</v>
      </c>
      <c r="E2015" s="378" t="s">
        <v>26</v>
      </c>
      <c r="F2015" s="378" t="s">
        <v>26</v>
      </c>
      <c r="G2015" s="378" t="s">
        <v>26</v>
      </c>
      <c r="H2015" s="379" t="s">
        <v>130</v>
      </c>
    </row>
    <row r="2016" spans="1:8" ht="15.75">
      <c r="A2016" s="376" t="s">
        <v>757</v>
      </c>
      <c r="B2016" s="382" t="s">
        <v>145</v>
      </c>
      <c r="C2016" s="378" t="s">
        <v>239</v>
      </c>
      <c r="D2016" s="378" t="s">
        <v>235</v>
      </c>
      <c r="E2016" s="378" t="s">
        <v>26</v>
      </c>
      <c r="F2016" s="378" t="s">
        <v>26</v>
      </c>
      <c r="G2016" s="383">
        <v>0</v>
      </c>
      <c r="H2016" s="379"/>
    </row>
    <row r="2017" spans="1:8" ht="15.75">
      <c r="A2017" s="376" t="s">
        <v>147</v>
      </c>
      <c r="B2017" s="382" t="s">
        <v>148</v>
      </c>
      <c r="C2017" s="378" t="s">
        <v>246</v>
      </c>
      <c r="D2017" s="378" t="s">
        <v>247</v>
      </c>
      <c r="E2017" s="378" t="s">
        <v>26</v>
      </c>
      <c r="F2017" s="378" t="s">
        <v>26</v>
      </c>
      <c r="G2017" s="383">
        <v>0</v>
      </c>
      <c r="H2017" s="379"/>
    </row>
    <row r="2018" spans="1:8" ht="15.75">
      <c r="A2018" s="376" t="s">
        <v>151</v>
      </c>
      <c r="B2018" s="382" t="s">
        <v>152</v>
      </c>
      <c r="C2018" s="378" t="s">
        <v>248</v>
      </c>
      <c r="D2018" s="378" t="s">
        <v>249</v>
      </c>
      <c r="E2018" s="378" t="s">
        <v>26</v>
      </c>
      <c r="F2018" s="378" t="s">
        <v>26</v>
      </c>
      <c r="G2018" s="383">
        <v>0</v>
      </c>
      <c r="H2018" s="379"/>
    </row>
    <row r="2019" spans="1:8" ht="15.75">
      <c r="A2019" s="376" t="s">
        <v>155</v>
      </c>
      <c r="B2019" s="382" t="s">
        <v>156</v>
      </c>
      <c r="C2019" s="378" t="s">
        <v>250</v>
      </c>
      <c r="D2019" s="378" t="s">
        <v>251</v>
      </c>
      <c r="E2019" s="378" t="s">
        <v>26</v>
      </c>
      <c r="F2019" s="378" t="s">
        <v>26</v>
      </c>
      <c r="G2019" s="383">
        <v>0</v>
      </c>
      <c r="H2019" s="379"/>
    </row>
    <row r="2020" spans="1:8" ht="18.75" customHeight="1">
      <c r="A2020" s="376">
        <v>4</v>
      </c>
      <c r="B2020" s="579" t="s">
        <v>159</v>
      </c>
      <c r="C2020" s="579"/>
      <c r="D2020" s="579"/>
      <c r="E2020" s="579"/>
      <c r="F2020" s="579"/>
      <c r="G2020" s="579"/>
      <c r="H2020" s="579"/>
    </row>
    <row r="2021" spans="1:8" ht="31.5">
      <c r="A2021" s="376" t="s">
        <v>160</v>
      </c>
      <c r="B2021" s="381" t="s">
        <v>161</v>
      </c>
      <c r="C2021" s="378" t="s">
        <v>26</v>
      </c>
      <c r="D2021" s="378" t="s">
        <v>26</v>
      </c>
      <c r="E2021" s="378" t="s">
        <v>26</v>
      </c>
      <c r="F2021" s="378" t="s">
        <v>26</v>
      </c>
      <c r="G2021" s="378" t="s">
        <v>26</v>
      </c>
      <c r="H2021" s="379" t="s">
        <v>130</v>
      </c>
    </row>
    <row r="2022" spans="1:8" ht="47.25">
      <c r="A2022" s="376" t="s">
        <v>162</v>
      </c>
      <c r="B2022" s="381" t="s">
        <v>163</v>
      </c>
      <c r="C2022" s="378" t="s">
        <v>26</v>
      </c>
      <c r="D2022" s="378" t="s">
        <v>26</v>
      </c>
      <c r="E2022" s="378" t="s">
        <v>26</v>
      </c>
      <c r="F2022" s="378" t="s">
        <v>26</v>
      </c>
      <c r="G2022" s="378" t="s">
        <v>26</v>
      </c>
      <c r="H2022" s="379" t="s">
        <v>130</v>
      </c>
    </row>
    <row r="2023" spans="1:8" ht="31.5">
      <c r="A2023" s="376" t="s">
        <v>164</v>
      </c>
      <c r="B2023" s="382" t="s">
        <v>165</v>
      </c>
      <c r="C2023" s="378" t="s">
        <v>26</v>
      </c>
      <c r="D2023" s="378" t="s">
        <v>26</v>
      </c>
      <c r="E2023" s="378" t="s">
        <v>26</v>
      </c>
      <c r="F2023" s="378" t="s">
        <v>26</v>
      </c>
      <c r="G2023" s="378" t="s">
        <v>26</v>
      </c>
      <c r="H2023" s="379" t="s">
        <v>130</v>
      </c>
    </row>
    <row r="2024" spans="1:8" ht="31.5">
      <c r="A2024" s="384" t="s">
        <v>166</v>
      </c>
      <c r="B2024" s="385" t="s">
        <v>167</v>
      </c>
      <c r="C2024" s="386" t="s">
        <v>26</v>
      </c>
      <c r="D2024" s="386" t="s">
        <v>26</v>
      </c>
      <c r="E2024" s="386" t="s">
        <v>26</v>
      </c>
      <c r="F2024" s="386" t="s">
        <v>26</v>
      </c>
      <c r="G2024" s="386" t="s">
        <v>26</v>
      </c>
      <c r="H2024" s="387" t="s">
        <v>130</v>
      </c>
    </row>
    <row r="2025" spans="1:8" ht="15.75">
      <c r="A2025" s="388"/>
      <c r="B2025" s="389"/>
      <c r="C2025" s="390"/>
      <c r="D2025" s="390"/>
      <c r="E2025" s="390"/>
      <c r="F2025" s="390"/>
      <c r="G2025" s="390"/>
      <c r="H2025" s="98"/>
    </row>
    <row r="2026" spans="1:8" ht="18.75" customHeight="1">
      <c r="A2026" s="580" t="s">
        <v>168</v>
      </c>
      <c r="B2026" s="580"/>
      <c r="C2026" s="580"/>
      <c r="D2026" s="580"/>
      <c r="E2026" s="580"/>
      <c r="F2026" s="580"/>
      <c r="G2026" s="580"/>
      <c r="H2026" s="580"/>
    </row>
    <row r="2029" ht="15.75">
      <c r="H2029" s="6" t="s">
        <v>113</v>
      </c>
    </row>
    <row r="2030" ht="15.75">
      <c r="H2030" s="6" t="s">
        <v>114</v>
      </c>
    </row>
    <row r="2031" ht="15.75">
      <c r="H2031" s="6" t="s">
        <v>115</v>
      </c>
    </row>
    <row r="2032" ht="15.75">
      <c r="H2032" s="6"/>
    </row>
    <row r="2033" spans="1:8" ht="18.75" customHeight="1">
      <c r="A2033" s="622" t="s">
        <v>116</v>
      </c>
      <c r="B2033" s="622"/>
      <c r="C2033" s="622"/>
      <c r="D2033" s="622"/>
      <c r="E2033" s="622"/>
      <c r="F2033" s="622"/>
      <c r="G2033" s="622"/>
      <c r="H2033" s="622"/>
    </row>
    <row r="2034" spans="1:8" ht="18.75" customHeight="1">
      <c r="A2034" s="622" t="s">
        <v>117</v>
      </c>
      <c r="B2034" s="622"/>
      <c r="C2034" s="622"/>
      <c r="D2034" s="622"/>
      <c r="E2034" s="622"/>
      <c r="F2034" s="622"/>
      <c r="G2034" s="622"/>
      <c r="H2034" s="622"/>
    </row>
    <row r="2035" ht="15.75">
      <c r="H2035" s="6" t="s">
        <v>562</v>
      </c>
    </row>
    <row r="2036" ht="15.75">
      <c r="H2036" s="6" t="s">
        <v>769</v>
      </c>
    </row>
    <row r="2037" ht="15.75">
      <c r="H2037" s="6" t="s">
        <v>770</v>
      </c>
    </row>
    <row r="2038" ht="15.75">
      <c r="H2038" s="361" t="str">
        <f>H11</f>
        <v>                         Добровольский К.А.</v>
      </c>
    </row>
    <row r="2039" ht="15.75">
      <c r="H2039" s="6" t="s">
        <v>772</v>
      </c>
    </row>
    <row r="2040" ht="15.75">
      <c r="H2040" s="6" t="s">
        <v>567</v>
      </c>
    </row>
    <row r="2041" ht="15.75">
      <c r="A2041" s="362"/>
    </row>
    <row r="2042" ht="15.75">
      <c r="A2042" s="3" t="s">
        <v>272</v>
      </c>
    </row>
    <row r="2043" spans="1:8" ht="18.75" customHeight="1">
      <c r="A2043" s="623" t="s">
        <v>120</v>
      </c>
      <c r="B2043" s="623"/>
      <c r="C2043" s="623"/>
      <c r="D2043" s="623"/>
      <c r="E2043" s="623"/>
      <c r="F2043" s="623"/>
      <c r="G2043" s="623"/>
      <c r="H2043" s="623"/>
    </row>
    <row r="2044" spans="1:8" ht="15.75">
      <c r="A2044" s="364"/>
      <c r="B2044" s="364"/>
      <c r="C2044" s="366"/>
      <c r="D2044" s="366"/>
      <c r="E2044" s="366"/>
      <c r="F2044" s="366"/>
      <c r="G2044" s="366"/>
      <c r="H2044" s="366"/>
    </row>
    <row r="2045" spans="1:8" ht="16.5" customHeight="1">
      <c r="A2045" s="581" t="s">
        <v>121</v>
      </c>
      <c r="B2045" s="559" t="s">
        <v>122</v>
      </c>
      <c r="C2045" s="560" t="s">
        <v>123</v>
      </c>
      <c r="D2045" s="560"/>
      <c r="E2045" s="560"/>
      <c r="F2045" s="560"/>
      <c r="G2045" s="561" t="s">
        <v>124</v>
      </c>
      <c r="H2045" s="581" t="s">
        <v>125</v>
      </c>
    </row>
    <row r="2046" spans="1:8" ht="15.75">
      <c r="A2046" s="581"/>
      <c r="B2046" s="559"/>
      <c r="C2046" s="560"/>
      <c r="D2046" s="560"/>
      <c r="E2046" s="560"/>
      <c r="F2046" s="560"/>
      <c r="G2046" s="561"/>
      <c r="H2046" s="581"/>
    </row>
    <row r="2047" spans="1:8" ht="31.5">
      <c r="A2047" s="581"/>
      <c r="B2047" s="559"/>
      <c r="C2047" s="369" t="s">
        <v>126</v>
      </c>
      <c r="D2047" s="369" t="s">
        <v>127</v>
      </c>
      <c r="E2047" s="370" t="s">
        <v>126</v>
      </c>
      <c r="F2047" s="371" t="s">
        <v>127</v>
      </c>
      <c r="G2047" s="561"/>
      <c r="H2047" s="581"/>
    </row>
    <row r="2048" spans="1:8" ht="15.75">
      <c r="A2048" s="367">
        <v>1</v>
      </c>
      <c r="B2048" s="367">
        <v>2</v>
      </c>
      <c r="C2048" s="372">
        <v>3</v>
      </c>
      <c r="D2048" s="372">
        <v>4</v>
      </c>
      <c r="E2048" s="373"/>
      <c r="F2048" s="374"/>
      <c r="G2048" s="368">
        <v>5</v>
      </c>
      <c r="H2048" s="367">
        <v>6</v>
      </c>
    </row>
    <row r="2049" spans="1:8" ht="18.75" customHeight="1">
      <c r="A2049" s="375">
        <v>1</v>
      </c>
      <c r="B2049" s="582" t="s">
        <v>128</v>
      </c>
      <c r="C2049" s="582"/>
      <c r="D2049" s="582"/>
      <c r="E2049" s="582"/>
      <c r="F2049" s="582"/>
      <c r="G2049" s="582"/>
      <c r="H2049" s="582"/>
    </row>
    <row r="2050" spans="1:8" ht="15.75">
      <c r="A2050" s="376" t="s">
        <v>594</v>
      </c>
      <c r="B2050" s="377" t="s">
        <v>129</v>
      </c>
      <c r="C2050" s="378" t="s">
        <v>26</v>
      </c>
      <c r="D2050" s="378" t="s">
        <v>26</v>
      </c>
      <c r="E2050" s="378" t="s">
        <v>26</v>
      </c>
      <c r="F2050" s="378" t="s">
        <v>26</v>
      </c>
      <c r="G2050" s="378" t="s">
        <v>26</v>
      </c>
      <c r="H2050" s="379" t="s">
        <v>130</v>
      </c>
    </row>
    <row r="2051" spans="1:8" ht="15.75">
      <c r="A2051" s="376" t="s">
        <v>735</v>
      </c>
      <c r="B2051" s="377" t="s">
        <v>131</v>
      </c>
      <c r="C2051" s="378" t="s">
        <v>26</v>
      </c>
      <c r="D2051" s="378" t="s">
        <v>26</v>
      </c>
      <c r="E2051" s="378" t="s">
        <v>26</v>
      </c>
      <c r="F2051" s="378" t="s">
        <v>26</v>
      </c>
      <c r="G2051" s="378" t="s">
        <v>26</v>
      </c>
      <c r="H2051" s="379" t="s">
        <v>130</v>
      </c>
    </row>
    <row r="2052" spans="1:8" ht="31.5">
      <c r="A2052" s="376" t="s">
        <v>737</v>
      </c>
      <c r="B2052" s="381" t="s">
        <v>132</v>
      </c>
      <c r="C2052" s="566" t="s">
        <v>88</v>
      </c>
      <c r="D2052" s="566" t="s">
        <v>89</v>
      </c>
      <c r="E2052" s="378" t="s">
        <v>26</v>
      </c>
      <c r="F2052" s="378" t="s">
        <v>26</v>
      </c>
      <c r="G2052" s="378" t="s">
        <v>26</v>
      </c>
      <c r="H2052" s="379" t="s">
        <v>130</v>
      </c>
    </row>
    <row r="2053" spans="1:8" ht="47.25">
      <c r="A2053" s="376" t="s">
        <v>739</v>
      </c>
      <c r="B2053" s="381" t="s">
        <v>133</v>
      </c>
      <c r="C2053" s="566" t="s">
        <v>90</v>
      </c>
      <c r="D2053" s="566" t="s">
        <v>91</v>
      </c>
      <c r="E2053" s="378" t="s">
        <v>26</v>
      </c>
      <c r="F2053" s="378" t="s">
        <v>26</v>
      </c>
      <c r="G2053" s="378" t="s">
        <v>26</v>
      </c>
      <c r="H2053" s="379" t="s">
        <v>130</v>
      </c>
    </row>
    <row r="2054" spans="1:8" ht="15.75">
      <c r="A2054" s="376" t="s">
        <v>852</v>
      </c>
      <c r="B2054" s="382" t="s">
        <v>134</v>
      </c>
      <c r="C2054" s="566" t="s">
        <v>92</v>
      </c>
      <c r="D2054" s="566" t="s">
        <v>93</v>
      </c>
      <c r="E2054" s="378" t="s">
        <v>26</v>
      </c>
      <c r="F2054" s="378" t="s">
        <v>26</v>
      </c>
      <c r="G2054" s="378" t="s">
        <v>26</v>
      </c>
      <c r="H2054" s="379" t="s">
        <v>130</v>
      </c>
    </row>
    <row r="2055" spans="1:8" ht="15.75">
      <c r="A2055" s="376" t="s">
        <v>853</v>
      </c>
      <c r="B2055" s="382" t="s">
        <v>135</v>
      </c>
      <c r="C2055" s="566" t="s">
        <v>88</v>
      </c>
      <c r="D2055" s="566" t="s">
        <v>234</v>
      </c>
      <c r="E2055" s="378" t="s">
        <v>26</v>
      </c>
      <c r="F2055" s="378" t="s">
        <v>26</v>
      </c>
      <c r="G2055" s="378" t="s">
        <v>26</v>
      </c>
      <c r="H2055" s="379" t="s">
        <v>130</v>
      </c>
    </row>
    <row r="2056" spans="1:8" ht="18.75" customHeight="1">
      <c r="A2056" s="376">
        <v>2</v>
      </c>
      <c r="B2056" s="579" t="s">
        <v>136</v>
      </c>
      <c r="C2056" s="579"/>
      <c r="D2056" s="579"/>
      <c r="E2056" s="579"/>
      <c r="F2056" s="579"/>
      <c r="G2056" s="579"/>
      <c r="H2056" s="579"/>
    </row>
    <row r="2057" spans="1:8" ht="31.5">
      <c r="A2057" s="376" t="s">
        <v>743</v>
      </c>
      <c r="B2057" s="381" t="s">
        <v>137</v>
      </c>
      <c r="C2057" s="378" t="s">
        <v>239</v>
      </c>
      <c r="D2057" s="378" t="s">
        <v>245</v>
      </c>
      <c r="E2057" s="378" t="s">
        <v>26</v>
      </c>
      <c r="F2057" s="378" t="s">
        <v>26</v>
      </c>
      <c r="G2057" s="383">
        <v>0</v>
      </c>
      <c r="H2057" s="379"/>
    </row>
    <row r="2058" spans="1:8" ht="47.25">
      <c r="A2058" s="376" t="s">
        <v>746</v>
      </c>
      <c r="B2058" s="381" t="s">
        <v>140</v>
      </c>
      <c r="C2058" s="378" t="s">
        <v>26</v>
      </c>
      <c r="D2058" s="378" t="s">
        <v>26</v>
      </c>
      <c r="E2058" s="378" t="s">
        <v>26</v>
      </c>
      <c r="F2058" s="378" t="s">
        <v>26</v>
      </c>
      <c r="G2058" s="378" t="s">
        <v>26</v>
      </c>
      <c r="H2058" s="379" t="s">
        <v>130</v>
      </c>
    </row>
    <row r="2059" spans="1:8" ht="31.5">
      <c r="A2059" s="376" t="s">
        <v>141</v>
      </c>
      <c r="B2059" s="381" t="s">
        <v>142</v>
      </c>
      <c r="C2059" s="378" t="s">
        <v>26</v>
      </c>
      <c r="D2059" s="378" t="s">
        <v>26</v>
      </c>
      <c r="E2059" s="378" t="s">
        <v>26</v>
      </c>
      <c r="F2059" s="378" t="s">
        <v>26</v>
      </c>
      <c r="G2059" s="378" t="s">
        <v>26</v>
      </c>
      <c r="H2059" s="379" t="s">
        <v>130</v>
      </c>
    </row>
    <row r="2060" spans="1:8" ht="18.75" customHeight="1">
      <c r="A2060" s="376">
        <v>3</v>
      </c>
      <c r="B2060" s="579" t="s">
        <v>184</v>
      </c>
      <c r="C2060" s="579"/>
      <c r="D2060" s="579"/>
      <c r="E2060" s="579"/>
      <c r="F2060" s="579"/>
      <c r="G2060" s="579"/>
      <c r="H2060" s="579"/>
    </row>
    <row r="2061" spans="1:8" ht="31.5">
      <c r="A2061" s="376" t="s">
        <v>756</v>
      </c>
      <c r="B2061" s="382" t="s">
        <v>144</v>
      </c>
      <c r="C2061" s="378" t="s">
        <v>26</v>
      </c>
      <c r="D2061" s="378" t="s">
        <v>26</v>
      </c>
      <c r="E2061" s="378" t="s">
        <v>26</v>
      </c>
      <c r="F2061" s="378" t="s">
        <v>26</v>
      </c>
      <c r="G2061" s="378" t="s">
        <v>26</v>
      </c>
      <c r="H2061" s="379" t="s">
        <v>130</v>
      </c>
    </row>
    <row r="2062" spans="1:8" ht="15.75">
      <c r="A2062" s="376" t="s">
        <v>757</v>
      </c>
      <c r="B2062" s="382" t="s">
        <v>145</v>
      </c>
      <c r="C2062" s="378" t="s">
        <v>239</v>
      </c>
      <c r="D2062" s="378" t="s">
        <v>235</v>
      </c>
      <c r="E2062" s="378" t="s">
        <v>26</v>
      </c>
      <c r="F2062" s="378" t="s">
        <v>26</v>
      </c>
      <c r="G2062" s="383">
        <v>0</v>
      </c>
      <c r="H2062" s="379"/>
    </row>
    <row r="2063" spans="1:8" ht="15.75">
      <c r="A2063" s="376" t="s">
        <v>147</v>
      </c>
      <c r="B2063" s="382" t="s">
        <v>148</v>
      </c>
      <c r="C2063" s="378" t="s">
        <v>246</v>
      </c>
      <c r="D2063" s="378" t="s">
        <v>247</v>
      </c>
      <c r="E2063" s="378" t="s">
        <v>26</v>
      </c>
      <c r="F2063" s="378" t="s">
        <v>26</v>
      </c>
      <c r="G2063" s="383">
        <v>0</v>
      </c>
      <c r="H2063" s="379"/>
    </row>
    <row r="2064" spans="1:8" ht="15.75">
      <c r="A2064" s="376" t="s">
        <v>151</v>
      </c>
      <c r="B2064" s="382" t="s">
        <v>152</v>
      </c>
      <c r="C2064" s="378" t="s">
        <v>248</v>
      </c>
      <c r="D2064" s="378" t="s">
        <v>249</v>
      </c>
      <c r="E2064" s="378" t="s">
        <v>26</v>
      </c>
      <c r="F2064" s="378" t="s">
        <v>26</v>
      </c>
      <c r="G2064" s="383">
        <v>0</v>
      </c>
      <c r="H2064" s="379"/>
    </row>
    <row r="2065" spans="1:8" ht="15.75">
      <c r="A2065" s="376" t="s">
        <v>155</v>
      </c>
      <c r="B2065" s="382" t="s">
        <v>156</v>
      </c>
      <c r="C2065" s="378" t="s">
        <v>250</v>
      </c>
      <c r="D2065" s="378" t="s">
        <v>251</v>
      </c>
      <c r="E2065" s="378" t="s">
        <v>26</v>
      </c>
      <c r="F2065" s="378" t="s">
        <v>26</v>
      </c>
      <c r="G2065" s="383">
        <v>0</v>
      </c>
      <c r="H2065" s="379"/>
    </row>
    <row r="2066" spans="1:8" ht="18.75" customHeight="1">
      <c r="A2066" s="376">
        <v>4</v>
      </c>
      <c r="B2066" s="579" t="s">
        <v>159</v>
      </c>
      <c r="C2066" s="579"/>
      <c r="D2066" s="579"/>
      <c r="E2066" s="579"/>
      <c r="F2066" s="579"/>
      <c r="G2066" s="579"/>
      <c r="H2066" s="579"/>
    </row>
    <row r="2067" spans="1:8" ht="31.5">
      <c r="A2067" s="376" t="s">
        <v>160</v>
      </c>
      <c r="B2067" s="381" t="s">
        <v>161</v>
      </c>
      <c r="C2067" s="378" t="s">
        <v>26</v>
      </c>
      <c r="D2067" s="378" t="s">
        <v>26</v>
      </c>
      <c r="E2067" s="378" t="s">
        <v>26</v>
      </c>
      <c r="F2067" s="378" t="s">
        <v>26</v>
      </c>
      <c r="G2067" s="378" t="s">
        <v>26</v>
      </c>
      <c r="H2067" s="379" t="s">
        <v>130</v>
      </c>
    </row>
    <row r="2068" spans="1:8" ht="47.25">
      <c r="A2068" s="376" t="s">
        <v>162</v>
      </c>
      <c r="B2068" s="381" t="s">
        <v>163</v>
      </c>
      <c r="C2068" s="378" t="s">
        <v>26</v>
      </c>
      <c r="D2068" s="378" t="s">
        <v>26</v>
      </c>
      <c r="E2068" s="378" t="s">
        <v>26</v>
      </c>
      <c r="F2068" s="378" t="s">
        <v>26</v>
      </c>
      <c r="G2068" s="378" t="s">
        <v>26</v>
      </c>
      <c r="H2068" s="379" t="s">
        <v>130</v>
      </c>
    </row>
    <row r="2069" spans="1:8" ht="31.5">
      <c r="A2069" s="376" t="s">
        <v>164</v>
      </c>
      <c r="B2069" s="382" t="s">
        <v>165</v>
      </c>
      <c r="C2069" s="378" t="s">
        <v>26</v>
      </c>
      <c r="D2069" s="378" t="s">
        <v>26</v>
      </c>
      <c r="E2069" s="378" t="s">
        <v>26</v>
      </c>
      <c r="F2069" s="378" t="s">
        <v>26</v>
      </c>
      <c r="G2069" s="378" t="s">
        <v>26</v>
      </c>
      <c r="H2069" s="379" t="s">
        <v>130</v>
      </c>
    </row>
    <row r="2070" spans="1:8" ht="31.5">
      <c r="A2070" s="384" t="s">
        <v>166</v>
      </c>
      <c r="B2070" s="385" t="s">
        <v>167</v>
      </c>
      <c r="C2070" s="386" t="s">
        <v>26</v>
      </c>
      <c r="D2070" s="386" t="s">
        <v>26</v>
      </c>
      <c r="E2070" s="386" t="s">
        <v>26</v>
      </c>
      <c r="F2070" s="386" t="s">
        <v>26</v>
      </c>
      <c r="G2070" s="386" t="s">
        <v>26</v>
      </c>
      <c r="H2070" s="387" t="s">
        <v>130</v>
      </c>
    </row>
    <row r="2071" spans="1:8" ht="15.75">
      <c r="A2071" s="388"/>
      <c r="B2071" s="389"/>
      <c r="C2071" s="390"/>
      <c r="D2071" s="390"/>
      <c r="E2071" s="390"/>
      <c r="F2071" s="390"/>
      <c r="G2071" s="390"/>
      <c r="H2071" s="98"/>
    </row>
    <row r="2072" spans="1:8" ht="18.75" customHeight="1">
      <c r="A2072" s="580" t="s">
        <v>168</v>
      </c>
      <c r="B2072" s="580"/>
      <c r="C2072" s="580"/>
      <c r="D2072" s="580"/>
      <c r="E2072" s="580"/>
      <c r="F2072" s="580"/>
      <c r="G2072" s="580"/>
      <c r="H2072" s="580"/>
    </row>
    <row r="2075" ht="15.75">
      <c r="H2075" s="6" t="s">
        <v>113</v>
      </c>
    </row>
    <row r="2076" ht="15.75">
      <c r="H2076" s="6" t="s">
        <v>114</v>
      </c>
    </row>
    <row r="2077" ht="15.75">
      <c r="H2077" s="6" t="s">
        <v>115</v>
      </c>
    </row>
    <row r="2078" ht="15.75">
      <c r="H2078" s="6"/>
    </row>
    <row r="2079" spans="1:8" ht="18.75" customHeight="1">
      <c r="A2079" s="622" t="s">
        <v>116</v>
      </c>
      <c r="B2079" s="622"/>
      <c r="C2079" s="622"/>
      <c r="D2079" s="622"/>
      <c r="E2079" s="622"/>
      <c r="F2079" s="622"/>
      <c r="G2079" s="622"/>
      <c r="H2079" s="622"/>
    </row>
    <row r="2080" spans="1:8" ht="18.75" customHeight="1">
      <c r="A2080" s="622" t="s">
        <v>117</v>
      </c>
      <c r="B2080" s="622"/>
      <c r="C2080" s="622"/>
      <c r="D2080" s="622"/>
      <c r="E2080" s="622"/>
      <c r="F2080" s="622"/>
      <c r="G2080" s="622"/>
      <c r="H2080" s="622"/>
    </row>
    <row r="2081" ht="15.75">
      <c r="H2081" s="6" t="s">
        <v>562</v>
      </c>
    </row>
    <row r="2082" ht="15.75">
      <c r="H2082" s="6" t="s">
        <v>769</v>
      </c>
    </row>
    <row r="2083" ht="15.75">
      <c r="H2083" s="6" t="s">
        <v>770</v>
      </c>
    </row>
    <row r="2084" ht="15.75">
      <c r="H2084" s="361" t="str">
        <f>H11</f>
        <v>                         Добровольский К.А.</v>
      </c>
    </row>
    <row r="2085" ht="15.75">
      <c r="H2085" s="6" t="s">
        <v>772</v>
      </c>
    </row>
    <row r="2086" ht="15.75">
      <c r="H2086" s="6" t="s">
        <v>567</v>
      </c>
    </row>
    <row r="2087" ht="15.75">
      <c r="A2087" s="362"/>
    </row>
    <row r="2088" ht="15.75">
      <c r="A2088" s="3" t="s">
        <v>273</v>
      </c>
    </row>
    <row r="2089" spans="1:8" ht="18.75" customHeight="1">
      <c r="A2089" s="623" t="s">
        <v>120</v>
      </c>
      <c r="B2089" s="623"/>
      <c r="C2089" s="623"/>
      <c r="D2089" s="623"/>
      <c r="E2089" s="623"/>
      <c r="F2089" s="623"/>
      <c r="G2089" s="623"/>
      <c r="H2089" s="623"/>
    </row>
    <row r="2090" spans="1:8" ht="15.75">
      <c r="A2090" s="364"/>
      <c r="B2090" s="364"/>
      <c r="C2090" s="366"/>
      <c r="D2090" s="366"/>
      <c r="E2090" s="366"/>
      <c r="F2090" s="366"/>
      <c r="G2090" s="366"/>
      <c r="H2090" s="366"/>
    </row>
    <row r="2091" spans="1:8" ht="16.5" customHeight="1">
      <c r="A2091" s="581" t="s">
        <v>121</v>
      </c>
      <c r="B2091" s="559" t="s">
        <v>122</v>
      </c>
      <c r="C2091" s="560" t="s">
        <v>123</v>
      </c>
      <c r="D2091" s="560"/>
      <c r="E2091" s="560"/>
      <c r="F2091" s="560"/>
      <c r="G2091" s="561" t="s">
        <v>124</v>
      </c>
      <c r="H2091" s="581" t="s">
        <v>125</v>
      </c>
    </row>
    <row r="2092" spans="1:8" ht="15.75">
      <c r="A2092" s="581"/>
      <c r="B2092" s="559"/>
      <c r="C2092" s="560"/>
      <c r="D2092" s="560"/>
      <c r="E2092" s="560"/>
      <c r="F2092" s="560"/>
      <c r="G2092" s="561"/>
      <c r="H2092" s="581"/>
    </row>
    <row r="2093" spans="1:8" ht="31.5">
      <c r="A2093" s="581"/>
      <c r="B2093" s="559"/>
      <c r="C2093" s="369" t="s">
        <v>126</v>
      </c>
      <c r="D2093" s="369" t="s">
        <v>127</v>
      </c>
      <c r="E2093" s="370" t="s">
        <v>126</v>
      </c>
      <c r="F2093" s="371" t="s">
        <v>127</v>
      </c>
      <c r="G2093" s="561"/>
      <c r="H2093" s="581"/>
    </row>
    <row r="2094" spans="1:8" ht="15.75">
      <c r="A2094" s="367">
        <v>1</v>
      </c>
      <c r="B2094" s="367">
        <v>2</v>
      </c>
      <c r="C2094" s="372">
        <v>3</v>
      </c>
      <c r="D2094" s="372">
        <v>4</v>
      </c>
      <c r="E2094" s="373"/>
      <c r="F2094" s="374"/>
      <c r="G2094" s="368">
        <v>5</v>
      </c>
      <c r="H2094" s="367">
        <v>6</v>
      </c>
    </row>
    <row r="2095" spans="1:8" ht="18.75" customHeight="1">
      <c r="A2095" s="375">
        <v>1</v>
      </c>
      <c r="B2095" s="582" t="s">
        <v>128</v>
      </c>
      <c r="C2095" s="582"/>
      <c r="D2095" s="582"/>
      <c r="E2095" s="582"/>
      <c r="F2095" s="582"/>
      <c r="G2095" s="582"/>
      <c r="H2095" s="582"/>
    </row>
    <row r="2096" spans="1:8" ht="15.75">
      <c r="A2096" s="376" t="s">
        <v>594</v>
      </c>
      <c r="B2096" s="377" t="s">
        <v>129</v>
      </c>
      <c r="C2096" s="378" t="s">
        <v>26</v>
      </c>
      <c r="D2096" s="378" t="s">
        <v>26</v>
      </c>
      <c r="E2096" s="378" t="s">
        <v>26</v>
      </c>
      <c r="F2096" s="378" t="s">
        <v>26</v>
      </c>
      <c r="G2096" s="378" t="s">
        <v>26</v>
      </c>
      <c r="H2096" s="379" t="s">
        <v>130</v>
      </c>
    </row>
    <row r="2097" spans="1:8" ht="15.75">
      <c r="A2097" s="376" t="s">
        <v>735</v>
      </c>
      <c r="B2097" s="377" t="s">
        <v>131</v>
      </c>
      <c r="C2097" s="378" t="s">
        <v>26</v>
      </c>
      <c r="D2097" s="378" t="s">
        <v>26</v>
      </c>
      <c r="E2097" s="378" t="s">
        <v>26</v>
      </c>
      <c r="F2097" s="378" t="s">
        <v>26</v>
      </c>
      <c r="G2097" s="378" t="s">
        <v>26</v>
      </c>
      <c r="H2097" s="379" t="s">
        <v>130</v>
      </c>
    </row>
    <row r="2098" spans="1:8" ht="31.5">
      <c r="A2098" s="376" t="s">
        <v>737</v>
      </c>
      <c r="B2098" s="381" t="s">
        <v>132</v>
      </c>
      <c r="C2098" s="566" t="s">
        <v>101</v>
      </c>
      <c r="D2098" s="566" t="s">
        <v>102</v>
      </c>
      <c r="E2098" s="378" t="s">
        <v>26</v>
      </c>
      <c r="F2098" s="378" t="s">
        <v>26</v>
      </c>
      <c r="G2098" s="378" t="s">
        <v>26</v>
      </c>
      <c r="H2098" s="379" t="s">
        <v>130</v>
      </c>
    </row>
    <row r="2099" spans="1:8" ht="47.25">
      <c r="A2099" s="376" t="s">
        <v>739</v>
      </c>
      <c r="B2099" s="381" t="s">
        <v>133</v>
      </c>
      <c r="C2099" s="566" t="s">
        <v>103</v>
      </c>
      <c r="D2099" s="566" t="s">
        <v>104</v>
      </c>
      <c r="E2099" s="378" t="s">
        <v>26</v>
      </c>
      <c r="F2099" s="378" t="s">
        <v>26</v>
      </c>
      <c r="G2099" s="378" t="s">
        <v>26</v>
      </c>
      <c r="H2099" s="379" t="s">
        <v>130</v>
      </c>
    </row>
    <row r="2100" spans="1:8" ht="15.75">
      <c r="A2100" s="376" t="s">
        <v>852</v>
      </c>
      <c r="B2100" s="382" t="s">
        <v>134</v>
      </c>
      <c r="C2100" s="566" t="s">
        <v>105</v>
      </c>
      <c r="D2100" s="566" t="s">
        <v>106</v>
      </c>
      <c r="E2100" s="378" t="s">
        <v>26</v>
      </c>
      <c r="F2100" s="378" t="s">
        <v>26</v>
      </c>
      <c r="G2100" s="378" t="s">
        <v>26</v>
      </c>
      <c r="H2100" s="379" t="s">
        <v>130</v>
      </c>
    </row>
    <row r="2101" spans="1:8" ht="15.75">
      <c r="A2101" s="376" t="s">
        <v>853</v>
      </c>
      <c r="B2101" s="382" t="s">
        <v>135</v>
      </c>
      <c r="C2101" s="566" t="s">
        <v>101</v>
      </c>
      <c r="D2101" s="566" t="s">
        <v>107</v>
      </c>
      <c r="E2101" s="378" t="s">
        <v>26</v>
      </c>
      <c r="F2101" s="378" t="s">
        <v>26</v>
      </c>
      <c r="G2101" s="378" t="s">
        <v>26</v>
      </c>
      <c r="H2101" s="379" t="s">
        <v>130</v>
      </c>
    </row>
    <row r="2102" spans="1:8" ht="18.75" customHeight="1">
      <c r="A2102" s="376">
        <v>2</v>
      </c>
      <c r="B2102" s="579" t="s">
        <v>136</v>
      </c>
      <c r="C2102" s="579"/>
      <c r="D2102" s="579"/>
      <c r="E2102" s="579"/>
      <c r="F2102" s="579"/>
      <c r="G2102" s="579"/>
      <c r="H2102" s="579"/>
    </row>
    <row r="2103" spans="1:8" ht="31.5">
      <c r="A2103" s="376" t="s">
        <v>743</v>
      </c>
      <c r="B2103" s="381" t="s">
        <v>137</v>
      </c>
      <c r="C2103" s="378" t="s">
        <v>274</v>
      </c>
      <c r="D2103" s="378" t="s">
        <v>275</v>
      </c>
      <c r="E2103" s="378" t="s">
        <v>26</v>
      </c>
      <c r="F2103" s="378" t="s">
        <v>26</v>
      </c>
      <c r="G2103" s="383">
        <v>0</v>
      </c>
      <c r="H2103" s="379"/>
    </row>
    <row r="2104" spans="1:8" ht="47.25">
      <c r="A2104" s="376" t="s">
        <v>746</v>
      </c>
      <c r="B2104" s="381" t="s">
        <v>140</v>
      </c>
      <c r="C2104" s="378" t="s">
        <v>26</v>
      </c>
      <c r="D2104" s="378" t="s">
        <v>26</v>
      </c>
      <c r="E2104" s="378" t="s">
        <v>26</v>
      </c>
      <c r="F2104" s="378" t="s">
        <v>26</v>
      </c>
      <c r="G2104" s="378" t="s">
        <v>26</v>
      </c>
      <c r="H2104" s="379" t="s">
        <v>130</v>
      </c>
    </row>
    <row r="2105" spans="1:8" ht="31.5">
      <c r="A2105" s="376" t="s">
        <v>141</v>
      </c>
      <c r="B2105" s="381" t="s">
        <v>142</v>
      </c>
      <c r="C2105" s="378" t="s">
        <v>26</v>
      </c>
      <c r="D2105" s="378" t="s">
        <v>26</v>
      </c>
      <c r="E2105" s="378" t="s">
        <v>26</v>
      </c>
      <c r="F2105" s="378" t="s">
        <v>26</v>
      </c>
      <c r="G2105" s="378" t="s">
        <v>26</v>
      </c>
      <c r="H2105" s="379" t="s">
        <v>130</v>
      </c>
    </row>
    <row r="2106" spans="1:8" ht="18.75" customHeight="1">
      <c r="A2106" s="376">
        <v>3</v>
      </c>
      <c r="B2106" s="579" t="s">
        <v>143</v>
      </c>
      <c r="C2106" s="579"/>
      <c r="D2106" s="579"/>
      <c r="E2106" s="579"/>
      <c r="F2106" s="579"/>
      <c r="G2106" s="579"/>
      <c r="H2106" s="579"/>
    </row>
    <row r="2107" spans="1:8" ht="31.5">
      <c r="A2107" s="376" t="s">
        <v>756</v>
      </c>
      <c r="B2107" s="382" t="s">
        <v>144</v>
      </c>
      <c r="C2107" s="378" t="s">
        <v>26</v>
      </c>
      <c r="D2107" s="378" t="s">
        <v>26</v>
      </c>
      <c r="E2107" s="378" t="s">
        <v>26</v>
      </c>
      <c r="F2107" s="378" t="s">
        <v>26</v>
      </c>
      <c r="G2107" s="378" t="s">
        <v>26</v>
      </c>
      <c r="H2107" s="379" t="s">
        <v>130</v>
      </c>
    </row>
    <row r="2108" spans="1:8" ht="15.75">
      <c r="A2108" s="376" t="s">
        <v>757</v>
      </c>
      <c r="B2108" s="382" t="s">
        <v>145</v>
      </c>
      <c r="C2108" s="378" t="s">
        <v>274</v>
      </c>
      <c r="D2108" s="378" t="s">
        <v>276</v>
      </c>
      <c r="E2108" s="378" t="s">
        <v>26</v>
      </c>
      <c r="F2108" s="378" t="s">
        <v>26</v>
      </c>
      <c r="G2108" s="383">
        <v>0</v>
      </c>
      <c r="H2108" s="379"/>
    </row>
    <row r="2109" spans="1:8" ht="15.75">
      <c r="A2109" s="376" t="s">
        <v>147</v>
      </c>
      <c r="B2109" s="382" t="s">
        <v>148</v>
      </c>
      <c r="C2109" s="378" t="s">
        <v>277</v>
      </c>
      <c r="D2109" s="378" t="s">
        <v>278</v>
      </c>
      <c r="E2109" s="378" t="s">
        <v>26</v>
      </c>
      <c r="F2109" s="378" t="s">
        <v>26</v>
      </c>
      <c r="G2109" s="383">
        <v>0</v>
      </c>
      <c r="H2109" s="379"/>
    </row>
    <row r="2110" spans="1:8" ht="15.75">
      <c r="A2110" s="376" t="s">
        <v>151</v>
      </c>
      <c r="B2110" s="382" t="s">
        <v>152</v>
      </c>
      <c r="C2110" s="378" t="s">
        <v>279</v>
      </c>
      <c r="D2110" s="378" t="s">
        <v>280</v>
      </c>
      <c r="E2110" s="378" t="s">
        <v>26</v>
      </c>
      <c r="F2110" s="378" t="s">
        <v>26</v>
      </c>
      <c r="G2110" s="383">
        <v>0</v>
      </c>
      <c r="H2110" s="379"/>
    </row>
    <row r="2111" spans="1:8" ht="15.75">
      <c r="A2111" s="376" t="s">
        <v>155</v>
      </c>
      <c r="B2111" s="382" t="s">
        <v>156</v>
      </c>
      <c r="C2111" s="378" t="s">
        <v>281</v>
      </c>
      <c r="D2111" s="378" t="s">
        <v>275</v>
      </c>
      <c r="E2111" s="378" t="s">
        <v>26</v>
      </c>
      <c r="F2111" s="378" t="s">
        <v>26</v>
      </c>
      <c r="G2111" s="383">
        <v>0</v>
      </c>
      <c r="H2111" s="379"/>
    </row>
    <row r="2112" spans="1:8" ht="18.75" customHeight="1">
      <c r="A2112" s="376">
        <v>4</v>
      </c>
      <c r="B2112" s="579" t="s">
        <v>159</v>
      </c>
      <c r="C2112" s="579"/>
      <c r="D2112" s="579"/>
      <c r="E2112" s="579"/>
      <c r="F2112" s="579"/>
      <c r="G2112" s="579"/>
      <c r="H2112" s="579"/>
    </row>
    <row r="2113" spans="1:8" ht="31.5">
      <c r="A2113" s="376" t="s">
        <v>160</v>
      </c>
      <c r="B2113" s="381" t="s">
        <v>161</v>
      </c>
      <c r="C2113" s="378" t="s">
        <v>26</v>
      </c>
      <c r="D2113" s="378" t="s">
        <v>26</v>
      </c>
      <c r="E2113" s="378" t="s">
        <v>26</v>
      </c>
      <c r="F2113" s="378" t="s">
        <v>26</v>
      </c>
      <c r="G2113" s="378" t="s">
        <v>26</v>
      </c>
      <c r="H2113" s="379" t="s">
        <v>130</v>
      </c>
    </row>
    <row r="2114" spans="1:8" ht="47.25">
      <c r="A2114" s="376" t="s">
        <v>162</v>
      </c>
      <c r="B2114" s="381" t="s">
        <v>163</v>
      </c>
      <c r="C2114" s="378" t="s">
        <v>26</v>
      </c>
      <c r="D2114" s="378" t="s">
        <v>26</v>
      </c>
      <c r="E2114" s="378" t="s">
        <v>26</v>
      </c>
      <c r="F2114" s="378" t="s">
        <v>26</v>
      </c>
      <c r="G2114" s="378" t="s">
        <v>26</v>
      </c>
      <c r="H2114" s="379" t="s">
        <v>130</v>
      </c>
    </row>
    <row r="2115" spans="1:8" ht="31.5">
      <c r="A2115" s="376" t="s">
        <v>164</v>
      </c>
      <c r="B2115" s="382" t="s">
        <v>165</v>
      </c>
      <c r="C2115" s="378" t="s">
        <v>26</v>
      </c>
      <c r="D2115" s="378" t="s">
        <v>26</v>
      </c>
      <c r="E2115" s="378" t="s">
        <v>26</v>
      </c>
      <c r="F2115" s="378" t="s">
        <v>26</v>
      </c>
      <c r="G2115" s="378" t="s">
        <v>26</v>
      </c>
      <c r="H2115" s="379" t="s">
        <v>130</v>
      </c>
    </row>
    <row r="2116" spans="1:8" ht="31.5">
      <c r="A2116" s="384" t="s">
        <v>166</v>
      </c>
      <c r="B2116" s="385" t="s">
        <v>167</v>
      </c>
      <c r="C2116" s="386" t="s">
        <v>26</v>
      </c>
      <c r="D2116" s="386" t="s">
        <v>26</v>
      </c>
      <c r="E2116" s="386" t="s">
        <v>26</v>
      </c>
      <c r="F2116" s="386" t="s">
        <v>26</v>
      </c>
      <c r="G2116" s="386" t="s">
        <v>26</v>
      </c>
      <c r="H2116" s="387" t="s">
        <v>130</v>
      </c>
    </row>
    <row r="2117" spans="1:8" ht="15.75">
      <c r="A2117" s="388"/>
      <c r="B2117" s="389"/>
      <c r="C2117" s="390"/>
      <c r="D2117" s="390"/>
      <c r="E2117" s="390"/>
      <c r="F2117" s="390"/>
      <c r="G2117" s="390"/>
      <c r="H2117" s="98"/>
    </row>
    <row r="2118" spans="1:8" ht="18.75" customHeight="1">
      <c r="A2118" s="580" t="s">
        <v>168</v>
      </c>
      <c r="B2118" s="580"/>
      <c r="C2118" s="580"/>
      <c r="D2118" s="580"/>
      <c r="E2118" s="580"/>
      <c r="F2118" s="580"/>
      <c r="G2118" s="580"/>
      <c r="H2118" s="580"/>
    </row>
    <row r="2121" ht="15.75">
      <c r="H2121" s="6" t="s">
        <v>113</v>
      </c>
    </row>
    <row r="2122" ht="15.75">
      <c r="H2122" s="6" t="s">
        <v>114</v>
      </c>
    </row>
    <row r="2123" ht="15.75">
      <c r="H2123" s="6" t="s">
        <v>115</v>
      </c>
    </row>
    <row r="2124" ht="15.75">
      <c r="H2124" s="6"/>
    </row>
    <row r="2125" spans="1:8" ht="18.75" customHeight="1">
      <c r="A2125" s="622" t="s">
        <v>116</v>
      </c>
      <c r="B2125" s="622"/>
      <c r="C2125" s="622"/>
      <c r="D2125" s="622"/>
      <c r="E2125" s="622"/>
      <c r="F2125" s="622"/>
      <c r="G2125" s="622"/>
      <c r="H2125" s="622"/>
    </row>
    <row r="2126" spans="1:8" ht="18.75" customHeight="1">
      <c r="A2126" s="622" t="s">
        <v>117</v>
      </c>
      <c r="B2126" s="622"/>
      <c r="C2126" s="622"/>
      <c r="D2126" s="622"/>
      <c r="E2126" s="622"/>
      <c r="F2126" s="622"/>
      <c r="G2126" s="622"/>
      <c r="H2126" s="622"/>
    </row>
    <row r="2127" ht="15.75">
      <c r="H2127" s="6" t="s">
        <v>562</v>
      </c>
    </row>
    <row r="2128" ht="15.75">
      <c r="H2128" s="6" t="s">
        <v>769</v>
      </c>
    </row>
    <row r="2129" ht="15.75">
      <c r="H2129" s="6" t="s">
        <v>770</v>
      </c>
    </row>
    <row r="2130" ht="15.75">
      <c r="H2130" s="361" t="str">
        <f>H11</f>
        <v>                         Добровольский К.А.</v>
      </c>
    </row>
    <row r="2131" ht="15.75">
      <c r="H2131" s="6" t="s">
        <v>772</v>
      </c>
    </row>
    <row r="2132" ht="15.75">
      <c r="H2132" s="6" t="s">
        <v>567</v>
      </c>
    </row>
    <row r="2133" ht="15.75">
      <c r="A2133" s="362"/>
    </row>
    <row r="2134" ht="15.75">
      <c r="A2134" s="3" t="s">
        <v>282</v>
      </c>
    </row>
    <row r="2135" spans="1:8" ht="18.75" customHeight="1">
      <c r="A2135" s="623" t="s">
        <v>120</v>
      </c>
      <c r="B2135" s="623"/>
      <c r="C2135" s="623"/>
      <c r="D2135" s="623"/>
      <c r="E2135" s="623"/>
      <c r="F2135" s="623"/>
      <c r="G2135" s="623"/>
      <c r="H2135" s="623"/>
    </row>
    <row r="2136" spans="1:8" ht="15.75">
      <c r="A2136" s="364"/>
      <c r="B2136" s="364"/>
      <c r="C2136" s="366"/>
      <c r="D2136" s="366"/>
      <c r="E2136" s="366"/>
      <c r="F2136" s="366"/>
      <c r="G2136" s="366"/>
      <c r="H2136" s="366"/>
    </row>
    <row r="2137" spans="1:8" ht="16.5" customHeight="1">
      <c r="A2137" s="581" t="s">
        <v>121</v>
      </c>
      <c r="B2137" s="559" t="s">
        <v>122</v>
      </c>
      <c r="C2137" s="560" t="s">
        <v>123</v>
      </c>
      <c r="D2137" s="560"/>
      <c r="E2137" s="560"/>
      <c r="F2137" s="560"/>
      <c r="G2137" s="561" t="s">
        <v>124</v>
      </c>
      <c r="H2137" s="581" t="s">
        <v>125</v>
      </c>
    </row>
    <row r="2138" spans="1:8" ht="15.75">
      <c r="A2138" s="581"/>
      <c r="B2138" s="559"/>
      <c r="C2138" s="560"/>
      <c r="D2138" s="560"/>
      <c r="E2138" s="560"/>
      <c r="F2138" s="560"/>
      <c r="G2138" s="561"/>
      <c r="H2138" s="581"/>
    </row>
    <row r="2139" spans="1:8" ht="31.5">
      <c r="A2139" s="581"/>
      <c r="B2139" s="559"/>
      <c r="C2139" s="369" t="s">
        <v>126</v>
      </c>
      <c r="D2139" s="369" t="s">
        <v>127</v>
      </c>
      <c r="E2139" s="370" t="s">
        <v>126</v>
      </c>
      <c r="F2139" s="371" t="s">
        <v>127</v>
      </c>
      <c r="G2139" s="561"/>
      <c r="H2139" s="581"/>
    </row>
    <row r="2140" spans="1:8" ht="15.75">
      <c r="A2140" s="367">
        <v>1</v>
      </c>
      <c r="B2140" s="367">
        <v>2</v>
      </c>
      <c r="C2140" s="372">
        <v>3</v>
      </c>
      <c r="D2140" s="372">
        <v>4</v>
      </c>
      <c r="E2140" s="373"/>
      <c r="F2140" s="374"/>
      <c r="G2140" s="368">
        <v>5</v>
      </c>
      <c r="H2140" s="367">
        <v>6</v>
      </c>
    </row>
    <row r="2141" spans="1:8" ht="18.75" customHeight="1">
      <c r="A2141" s="375">
        <v>1</v>
      </c>
      <c r="B2141" s="582" t="s">
        <v>128</v>
      </c>
      <c r="C2141" s="582"/>
      <c r="D2141" s="582"/>
      <c r="E2141" s="582"/>
      <c r="F2141" s="582"/>
      <c r="G2141" s="582"/>
      <c r="H2141" s="582"/>
    </row>
    <row r="2142" spans="1:8" ht="15.75">
      <c r="A2142" s="376" t="s">
        <v>594</v>
      </c>
      <c r="B2142" s="377" t="s">
        <v>129</v>
      </c>
      <c r="C2142" s="378" t="s">
        <v>26</v>
      </c>
      <c r="D2142" s="378" t="s">
        <v>26</v>
      </c>
      <c r="E2142" s="378" t="s">
        <v>26</v>
      </c>
      <c r="F2142" s="378" t="s">
        <v>26</v>
      </c>
      <c r="G2142" s="378" t="s">
        <v>26</v>
      </c>
      <c r="H2142" s="379" t="s">
        <v>130</v>
      </c>
    </row>
    <row r="2143" spans="1:8" ht="15.75">
      <c r="A2143" s="376" t="s">
        <v>735</v>
      </c>
      <c r="B2143" s="377" t="s">
        <v>131</v>
      </c>
      <c r="C2143" s="378" t="s">
        <v>26</v>
      </c>
      <c r="D2143" s="378" t="s">
        <v>26</v>
      </c>
      <c r="E2143" s="378" t="s">
        <v>26</v>
      </c>
      <c r="F2143" s="378" t="s">
        <v>26</v>
      </c>
      <c r="G2143" s="378" t="s">
        <v>26</v>
      </c>
      <c r="H2143" s="379" t="s">
        <v>130</v>
      </c>
    </row>
    <row r="2144" spans="1:8" ht="31.5">
      <c r="A2144" s="376" t="s">
        <v>737</v>
      </c>
      <c r="B2144" s="381" t="s">
        <v>132</v>
      </c>
      <c r="C2144" s="566" t="s">
        <v>101</v>
      </c>
      <c r="D2144" s="566" t="s">
        <v>102</v>
      </c>
      <c r="E2144" s="378" t="s">
        <v>26</v>
      </c>
      <c r="F2144" s="378" t="s">
        <v>26</v>
      </c>
      <c r="G2144" s="378" t="s">
        <v>26</v>
      </c>
      <c r="H2144" s="379" t="s">
        <v>130</v>
      </c>
    </row>
    <row r="2145" spans="1:8" ht="47.25">
      <c r="A2145" s="376" t="s">
        <v>739</v>
      </c>
      <c r="B2145" s="381" t="s">
        <v>133</v>
      </c>
      <c r="C2145" s="566" t="s">
        <v>103</v>
      </c>
      <c r="D2145" s="566" t="s">
        <v>104</v>
      </c>
      <c r="E2145" s="378" t="s">
        <v>26</v>
      </c>
      <c r="F2145" s="378" t="s">
        <v>26</v>
      </c>
      <c r="G2145" s="378" t="s">
        <v>26</v>
      </c>
      <c r="H2145" s="379" t="s">
        <v>130</v>
      </c>
    </row>
    <row r="2146" spans="1:8" ht="15.75">
      <c r="A2146" s="376" t="s">
        <v>852</v>
      </c>
      <c r="B2146" s="382" t="s">
        <v>134</v>
      </c>
      <c r="C2146" s="566" t="s">
        <v>105</v>
      </c>
      <c r="D2146" s="566" t="s">
        <v>106</v>
      </c>
      <c r="E2146" s="378" t="s">
        <v>26</v>
      </c>
      <c r="F2146" s="378" t="s">
        <v>26</v>
      </c>
      <c r="G2146" s="378" t="s">
        <v>26</v>
      </c>
      <c r="H2146" s="379" t="s">
        <v>130</v>
      </c>
    </row>
    <row r="2147" spans="1:8" ht="15.75">
      <c r="A2147" s="376" t="s">
        <v>853</v>
      </c>
      <c r="B2147" s="382" t="s">
        <v>135</v>
      </c>
      <c r="C2147" s="566" t="s">
        <v>101</v>
      </c>
      <c r="D2147" s="566" t="s">
        <v>107</v>
      </c>
      <c r="E2147" s="378" t="s">
        <v>26</v>
      </c>
      <c r="F2147" s="378" t="s">
        <v>26</v>
      </c>
      <c r="G2147" s="378" t="s">
        <v>26</v>
      </c>
      <c r="H2147" s="379" t="s">
        <v>130</v>
      </c>
    </row>
    <row r="2148" spans="1:8" ht="18.75" customHeight="1">
      <c r="A2148" s="376">
        <v>2</v>
      </c>
      <c r="B2148" s="579" t="s">
        <v>136</v>
      </c>
      <c r="C2148" s="579"/>
      <c r="D2148" s="579"/>
      <c r="E2148" s="579"/>
      <c r="F2148" s="579"/>
      <c r="G2148" s="579"/>
      <c r="H2148" s="579"/>
    </row>
    <row r="2149" spans="1:8" ht="31.5">
      <c r="A2149" s="376" t="s">
        <v>743</v>
      </c>
      <c r="B2149" s="381" t="s">
        <v>137</v>
      </c>
      <c r="C2149" s="378" t="s">
        <v>274</v>
      </c>
      <c r="D2149" s="378" t="s">
        <v>275</v>
      </c>
      <c r="E2149" s="378" t="s">
        <v>26</v>
      </c>
      <c r="F2149" s="378" t="s">
        <v>26</v>
      </c>
      <c r="G2149" s="383">
        <v>0</v>
      </c>
      <c r="H2149" s="379"/>
    </row>
    <row r="2150" spans="1:8" ht="47.25">
      <c r="A2150" s="376" t="s">
        <v>746</v>
      </c>
      <c r="B2150" s="381" t="s">
        <v>140</v>
      </c>
      <c r="C2150" s="378" t="s">
        <v>26</v>
      </c>
      <c r="D2150" s="378" t="s">
        <v>26</v>
      </c>
      <c r="E2150" s="378" t="s">
        <v>26</v>
      </c>
      <c r="F2150" s="378" t="s">
        <v>26</v>
      </c>
      <c r="G2150" s="378" t="s">
        <v>26</v>
      </c>
      <c r="H2150" s="379" t="s">
        <v>130</v>
      </c>
    </row>
    <row r="2151" spans="1:8" ht="31.5">
      <c r="A2151" s="376" t="s">
        <v>141</v>
      </c>
      <c r="B2151" s="381" t="s">
        <v>142</v>
      </c>
      <c r="C2151" s="378" t="s">
        <v>26</v>
      </c>
      <c r="D2151" s="378" t="s">
        <v>26</v>
      </c>
      <c r="E2151" s="378" t="s">
        <v>26</v>
      </c>
      <c r="F2151" s="378" t="s">
        <v>26</v>
      </c>
      <c r="G2151" s="378" t="s">
        <v>26</v>
      </c>
      <c r="H2151" s="379" t="s">
        <v>130</v>
      </c>
    </row>
    <row r="2152" spans="1:8" ht="18.75" customHeight="1">
      <c r="A2152" s="376">
        <v>3</v>
      </c>
      <c r="B2152" s="579" t="s">
        <v>143</v>
      </c>
      <c r="C2152" s="579"/>
      <c r="D2152" s="579"/>
      <c r="E2152" s="579"/>
      <c r="F2152" s="579"/>
      <c r="G2152" s="579"/>
      <c r="H2152" s="579"/>
    </row>
    <row r="2153" spans="1:8" ht="31.5">
      <c r="A2153" s="376" t="s">
        <v>756</v>
      </c>
      <c r="B2153" s="382" t="s">
        <v>144</v>
      </c>
      <c r="C2153" s="378" t="s">
        <v>26</v>
      </c>
      <c r="D2153" s="378" t="s">
        <v>26</v>
      </c>
      <c r="E2153" s="378" t="s">
        <v>26</v>
      </c>
      <c r="F2153" s="378" t="s">
        <v>26</v>
      </c>
      <c r="G2153" s="378" t="s">
        <v>26</v>
      </c>
      <c r="H2153" s="379" t="s">
        <v>130</v>
      </c>
    </row>
    <row r="2154" spans="1:8" ht="15.75">
      <c r="A2154" s="376" t="s">
        <v>757</v>
      </c>
      <c r="B2154" s="382" t="s">
        <v>145</v>
      </c>
      <c r="C2154" s="378" t="s">
        <v>274</v>
      </c>
      <c r="D2154" s="378" t="s">
        <v>276</v>
      </c>
      <c r="E2154" s="378" t="s">
        <v>26</v>
      </c>
      <c r="F2154" s="378" t="s">
        <v>26</v>
      </c>
      <c r="G2154" s="383">
        <v>0</v>
      </c>
      <c r="H2154" s="379"/>
    </row>
    <row r="2155" spans="1:8" ht="15.75">
      <c r="A2155" s="376" t="s">
        <v>147</v>
      </c>
      <c r="B2155" s="382" t="s">
        <v>148</v>
      </c>
      <c r="C2155" s="378" t="s">
        <v>277</v>
      </c>
      <c r="D2155" s="378" t="s">
        <v>278</v>
      </c>
      <c r="E2155" s="378" t="s">
        <v>26</v>
      </c>
      <c r="F2155" s="378" t="s">
        <v>26</v>
      </c>
      <c r="G2155" s="383">
        <v>0</v>
      </c>
      <c r="H2155" s="379"/>
    </row>
    <row r="2156" spans="1:8" ht="15.75">
      <c r="A2156" s="376" t="s">
        <v>151</v>
      </c>
      <c r="B2156" s="382" t="s">
        <v>152</v>
      </c>
      <c r="C2156" s="378" t="s">
        <v>279</v>
      </c>
      <c r="D2156" s="378" t="s">
        <v>280</v>
      </c>
      <c r="E2156" s="378" t="s">
        <v>26</v>
      </c>
      <c r="F2156" s="378" t="s">
        <v>26</v>
      </c>
      <c r="G2156" s="383">
        <v>0</v>
      </c>
      <c r="H2156" s="379"/>
    </row>
    <row r="2157" spans="1:8" ht="15.75">
      <c r="A2157" s="376" t="s">
        <v>155</v>
      </c>
      <c r="B2157" s="382" t="s">
        <v>156</v>
      </c>
      <c r="C2157" s="378" t="s">
        <v>281</v>
      </c>
      <c r="D2157" s="378" t="s">
        <v>275</v>
      </c>
      <c r="E2157" s="378" t="s">
        <v>26</v>
      </c>
      <c r="F2157" s="378" t="s">
        <v>26</v>
      </c>
      <c r="G2157" s="383">
        <v>0</v>
      </c>
      <c r="H2157" s="379"/>
    </row>
    <row r="2158" spans="1:8" ht="18.75" customHeight="1">
      <c r="A2158" s="376">
        <v>4</v>
      </c>
      <c r="B2158" s="579" t="s">
        <v>159</v>
      </c>
      <c r="C2158" s="579"/>
      <c r="D2158" s="579"/>
      <c r="E2158" s="579"/>
      <c r="F2158" s="579"/>
      <c r="G2158" s="579"/>
      <c r="H2158" s="579"/>
    </row>
    <row r="2159" spans="1:8" ht="31.5">
      <c r="A2159" s="376" t="s">
        <v>160</v>
      </c>
      <c r="B2159" s="381" t="s">
        <v>161</v>
      </c>
      <c r="C2159" s="378" t="s">
        <v>26</v>
      </c>
      <c r="D2159" s="378" t="s">
        <v>26</v>
      </c>
      <c r="E2159" s="378" t="s">
        <v>26</v>
      </c>
      <c r="F2159" s="378" t="s">
        <v>26</v>
      </c>
      <c r="G2159" s="378" t="s">
        <v>26</v>
      </c>
      <c r="H2159" s="379" t="s">
        <v>130</v>
      </c>
    </row>
    <row r="2160" spans="1:8" ht="47.25">
      <c r="A2160" s="376" t="s">
        <v>162</v>
      </c>
      <c r="B2160" s="381" t="s">
        <v>163</v>
      </c>
      <c r="C2160" s="378" t="s">
        <v>26</v>
      </c>
      <c r="D2160" s="378" t="s">
        <v>26</v>
      </c>
      <c r="E2160" s="378" t="s">
        <v>26</v>
      </c>
      <c r="F2160" s="378" t="s">
        <v>26</v>
      </c>
      <c r="G2160" s="378" t="s">
        <v>26</v>
      </c>
      <c r="H2160" s="379" t="s">
        <v>130</v>
      </c>
    </row>
    <row r="2161" spans="1:8" ht="31.5">
      <c r="A2161" s="376" t="s">
        <v>164</v>
      </c>
      <c r="B2161" s="382" t="s">
        <v>165</v>
      </c>
      <c r="C2161" s="378" t="s">
        <v>26</v>
      </c>
      <c r="D2161" s="378" t="s">
        <v>26</v>
      </c>
      <c r="E2161" s="378" t="s">
        <v>26</v>
      </c>
      <c r="F2161" s="378" t="s">
        <v>26</v>
      </c>
      <c r="G2161" s="378" t="s">
        <v>26</v>
      </c>
      <c r="H2161" s="379" t="s">
        <v>130</v>
      </c>
    </row>
    <row r="2162" spans="1:8" ht="31.5">
      <c r="A2162" s="384" t="s">
        <v>166</v>
      </c>
      <c r="B2162" s="385" t="s">
        <v>167</v>
      </c>
      <c r="C2162" s="386" t="s">
        <v>26</v>
      </c>
      <c r="D2162" s="386" t="s">
        <v>26</v>
      </c>
      <c r="E2162" s="386" t="s">
        <v>26</v>
      </c>
      <c r="F2162" s="386" t="s">
        <v>26</v>
      </c>
      <c r="G2162" s="386" t="s">
        <v>26</v>
      </c>
      <c r="H2162" s="387" t="s">
        <v>130</v>
      </c>
    </row>
    <row r="2163" spans="1:8" ht="15.75">
      <c r="A2163" s="388"/>
      <c r="B2163" s="389"/>
      <c r="C2163" s="390"/>
      <c r="D2163" s="390"/>
      <c r="E2163" s="390"/>
      <c r="F2163" s="390"/>
      <c r="G2163" s="390"/>
      <c r="H2163" s="98"/>
    </row>
    <row r="2164" spans="1:8" ht="18.75" customHeight="1">
      <c r="A2164" s="580" t="s">
        <v>168</v>
      </c>
      <c r="B2164" s="580"/>
      <c r="C2164" s="580"/>
      <c r="D2164" s="580"/>
      <c r="E2164" s="580"/>
      <c r="F2164" s="580"/>
      <c r="G2164" s="580"/>
      <c r="H2164" s="580"/>
    </row>
    <row r="2167" ht="15.75">
      <c r="H2167" s="6" t="s">
        <v>113</v>
      </c>
    </row>
    <row r="2168" ht="15.75">
      <c r="H2168" s="6" t="s">
        <v>114</v>
      </c>
    </row>
    <row r="2169" ht="15.75">
      <c r="H2169" s="6" t="s">
        <v>115</v>
      </c>
    </row>
    <row r="2170" ht="15.75">
      <c r="H2170" s="6"/>
    </row>
    <row r="2171" spans="1:8" ht="18.75" customHeight="1">
      <c r="A2171" s="622" t="s">
        <v>116</v>
      </c>
      <c r="B2171" s="622"/>
      <c r="C2171" s="622"/>
      <c r="D2171" s="622"/>
      <c r="E2171" s="622"/>
      <c r="F2171" s="622"/>
      <c r="G2171" s="622"/>
      <c r="H2171" s="622"/>
    </row>
    <row r="2172" spans="1:8" ht="18.75" customHeight="1">
      <c r="A2172" s="622" t="s">
        <v>117</v>
      </c>
      <c r="B2172" s="622"/>
      <c r="C2172" s="622"/>
      <c r="D2172" s="622"/>
      <c r="E2172" s="622"/>
      <c r="F2172" s="622"/>
      <c r="G2172" s="622"/>
      <c r="H2172" s="622"/>
    </row>
    <row r="2173" ht="15.75">
      <c r="H2173" s="6" t="s">
        <v>562</v>
      </c>
    </row>
    <row r="2174" ht="15.75">
      <c r="H2174" s="6" t="s">
        <v>769</v>
      </c>
    </row>
    <row r="2175" ht="15.75">
      <c r="H2175" s="6" t="s">
        <v>770</v>
      </c>
    </row>
    <row r="2176" ht="15.75">
      <c r="H2176" s="361" t="str">
        <f>H11</f>
        <v>                         Добровольский К.А.</v>
      </c>
    </row>
    <row r="2177" ht="15.75">
      <c r="H2177" s="6" t="s">
        <v>772</v>
      </c>
    </row>
    <row r="2178" ht="15.75">
      <c r="H2178" s="6" t="s">
        <v>567</v>
      </c>
    </row>
    <row r="2179" ht="15.75">
      <c r="A2179" s="362"/>
    </row>
    <row r="2180" ht="15.75">
      <c r="A2180" s="3" t="s">
        <v>283</v>
      </c>
    </row>
    <row r="2181" spans="1:8" ht="18.75" customHeight="1">
      <c r="A2181" s="623" t="s">
        <v>120</v>
      </c>
      <c r="B2181" s="623"/>
      <c r="C2181" s="623"/>
      <c r="D2181" s="623"/>
      <c r="E2181" s="623"/>
      <c r="F2181" s="623"/>
      <c r="G2181" s="623"/>
      <c r="H2181" s="623"/>
    </row>
    <row r="2182" spans="1:8" ht="15.75">
      <c r="A2182" s="364"/>
      <c r="B2182" s="364"/>
      <c r="C2182" s="366"/>
      <c r="D2182" s="366"/>
      <c r="E2182" s="366"/>
      <c r="F2182" s="366"/>
      <c r="G2182" s="366"/>
      <c r="H2182" s="366"/>
    </row>
    <row r="2183" spans="1:8" ht="16.5" customHeight="1">
      <c r="A2183" s="581" t="s">
        <v>121</v>
      </c>
      <c r="B2183" s="559" t="s">
        <v>122</v>
      </c>
      <c r="C2183" s="560" t="s">
        <v>123</v>
      </c>
      <c r="D2183" s="560"/>
      <c r="E2183" s="560"/>
      <c r="F2183" s="560"/>
      <c r="G2183" s="561" t="s">
        <v>124</v>
      </c>
      <c r="H2183" s="581" t="s">
        <v>125</v>
      </c>
    </row>
    <row r="2184" spans="1:8" ht="15.75">
      <c r="A2184" s="581"/>
      <c r="B2184" s="559"/>
      <c r="C2184" s="560"/>
      <c r="D2184" s="560"/>
      <c r="E2184" s="560"/>
      <c r="F2184" s="560"/>
      <c r="G2184" s="561"/>
      <c r="H2184" s="581"/>
    </row>
    <row r="2185" spans="1:8" ht="31.5">
      <c r="A2185" s="581"/>
      <c r="B2185" s="559"/>
      <c r="C2185" s="369" t="s">
        <v>126</v>
      </c>
      <c r="D2185" s="369" t="s">
        <v>127</v>
      </c>
      <c r="E2185" s="370" t="s">
        <v>126</v>
      </c>
      <c r="F2185" s="371" t="s">
        <v>127</v>
      </c>
      <c r="G2185" s="561"/>
      <c r="H2185" s="581"/>
    </row>
    <row r="2186" spans="1:8" ht="15.75">
      <c r="A2186" s="367">
        <v>1</v>
      </c>
      <c r="B2186" s="367">
        <v>2</v>
      </c>
      <c r="C2186" s="372">
        <v>3</v>
      </c>
      <c r="D2186" s="372">
        <v>4</v>
      </c>
      <c r="E2186" s="373"/>
      <c r="F2186" s="374"/>
      <c r="G2186" s="368">
        <v>5</v>
      </c>
      <c r="H2186" s="367">
        <v>6</v>
      </c>
    </row>
    <row r="2187" spans="1:8" ht="18.75" customHeight="1">
      <c r="A2187" s="375">
        <v>1</v>
      </c>
      <c r="B2187" s="582" t="s">
        <v>128</v>
      </c>
      <c r="C2187" s="582"/>
      <c r="D2187" s="582"/>
      <c r="E2187" s="582"/>
      <c r="F2187" s="582"/>
      <c r="G2187" s="582"/>
      <c r="H2187" s="582"/>
    </row>
    <row r="2188" spans="1:8" ht="15.75">
      <c r="A2188" s="376" t="s">
        <v>594</v>
      </c>
      <c r="B2188" s="377" t="s">
        <v>129</v>
      </c>
      <c r="C2188" s="378" t="s">
        <v>26</v>
      </c>
      <c r="D2188" s="378" t="s">
        <v>26</v>
      </c>
      <c r="E2188" s="378" t="s">
        <v>26</v>
      </c>
      <c r="F2188" s="378" t="s">
        <v>26</v>
      </c>
      <c r="G2188" s="378" t="s">
        <v>26</v>
      </c>
      <c r="H2188" s="379" t="s">
        <v>130</v>
      </c>
    </row>
    <row r="2189" spans="1:8" ht="15.75">
      <c r="A2189" s="376" t="s">
        <v>735</v>
      </c>
      <c r="B2189" s="377" t="s">
        <v>131</v>
      </c>
      <c r="C2189" s="378" t="s">
        <v>26</v>
      </c>
      <c r="D2189" s="378" t="s">
        <v>26</v>
      </c>
      <c r="E2189" s="378" t="s">
        <v>26</v>
      </c>
      <c r="F2189" s="378" t="s">
        <v>26</v>
      </c>
      <c r="G2189" s="378" t="s">
        <v>26</v>
      </c>
      <c r="H2189" s="379" t="s">
        <v>130</v>
      </c>
    </row>
    <row r="2190" spans="1:8" ht="31.5">
      <c r="A2190" s="376" t="s">
        <v>737</v>
      </c>
      <c r="B2190" s="381" t="s">
        <v>132</v>
      </c>
      <c r="C2190" s="378" t="s">
        <v>26</v>
      </c>
      <c r="D2190" s="378" t="s">
        <v>26</v>
      </c>
      <c r="E2190" s="378" t="s">
        <v>26</v>
      </c>
      <c r="F2190" s="378" t="s">
        <v>26</v>
      </c>
      <c r="G2190" s="378" t="s">
        <v>26</v>
      </c>
      <c r="H2190" s="379" t="s">
        <v>130</v>
      </c>
    </row>
    <row r="2191" spans="1:8" ht="47.25">
      <c r="A2191" s="376" t="s">
        <v>739</v>
      </c>
      <c r="B2191" s="381" t="s">
        <v>133</v>
      </c>
      <c r="C2191" s="378" t="s">
        <v>26</v>
      </c>
      <c r="D2191" s="378" t="s">
        <v>26</v>
      </c>
      <c r="E2191" s="378" t="s">
        <v>26</v>
      </c>
      <c r="F2191" s="378" t="s">
        <v>26</v>
      </c>
      <c r="G2191" s="378" t="s">
        <v>26</v>
      </c>
      <c r="H2191" s="379" t="s">
        <v>130</v>
      </c>
    </row>
    <row r="2192" spans="1:8" ht="15.75">
      <c r="A2192" s="376" t="s">
        <v>852</v>
      </c>
      <c r="B2192" s="382" t="s">
        <v>134</v>
      </c>
      <c r="C2192" s="378" t="s">
        <v>26</v>
      </c>
      <c r="D2192" s="378" t="s">
        <v>26</v>
      </c>
      <c r="E2192" s="378" t="s">
        <v>26</v>
      </c>
      <c r="F2192" s="378" t="s">
        <v>26</v>
      </c>
      <c r="G2192" s="378" t="s">
        <v>26</v>
      </c>
      <c r="H2192" s="379" t="s">
        <v>130</v>
      </c>
    </row>
    <row r="2193" spans="1:8" ht="15.75">
      <c r="A2193" s="376" t="s">
        <v>853</v>
      </c>
      <c r="B2193" s="382" t="s">
        <v>135</v>
      </c>
      <c r="C2193" s="378" t="s">
        <v>26</v>
      </c>
      <c r="D2193" s="378" t="s">
        <v>26</v>
      </c>
      <c r="E2193" s="378" t="s">
        <v>26</v>
      </c>
      <c r="F2193" s="378" t="s">
        <v>26</v>
      </c>
      <c r="G2193" s="378" t="s">
        <v>26</v>
      </c>
      <c r="H2193" s="379" t="s">
        <v>130</v>
      </c>
    </row>
    <row r="2194" spans="1:8" ht="18.75" customHeight="1">
      <c r="A2194" s="376">
        <v>2</v>
      </c>
      <c r="B2194" s="579" t="s">
        <v>136</v>
      </c>
      <c r="C2194" s="579"/>
      <c r="D2194" s="579"/>
      <c r="E2194" s="579"/>
      <c r="F2194" s="579"/>
      <c r="G2194" s="579"/>
      <c r="H2194" s="579"/>
    </row>
    <row r="2195" spans="1:8" ht="31.5">
      <c r="A2195" s="376" t="s">
        <v>743</v>
      </c>
      <c r="B2195" s="381" t="s">
        <v>137</v>
      </c>
      <c r="C2195" s="378" t="s">
        <v>284</v>
      </c>
      <c r="D2195" s="378" t="s">
        <v>285</v>
      </c>
      <c r="E2195" s="378" t="s">
        <v>26</v>
      </c>
      <c r="F2195" s="378" t="s">
        <v>26</v>
      </c>
      <c r="G2195" s="383">
        <v>0</v>
      </c>
      <c r="H2195" s="379"/>
    </row>
    <row r="2196" spans="1:8" ht="47.25">
      <c r="A2196" s="376" t="s">
        <v>746</v>
      </c>
      <c r="B2196" s="381" t="s">
        <v>140</v>
      </c>
      <c r="C2196" s="378" t="s">
        <v>26</v>
      </c>
      <c r="D2196" s="378" t="s">
        <v>26</v>
      </c>
      <c r="E2196" s="378" t="s">
        <v>26</v>
      </c>
      <c r="F2196" s="378" t="s">
        <v>26</v>
      </c>
      <c r="G2196" s="378" t="s">
        <v>26</v>
      </c>
      <c r="H2196" s="379" t="s">
        <v>130</v>
      </c>
    </row>
    <row r="2197" spans="1:8" ht="31.5">
      <c r="A2197" s="376" t="s">
        <v>141</v>
      </c>
      <c r="B2197" s="381" t="s">
        <v>142</v>
      </c>
      <c r="C2197" s="378" t="s">
        <v>26</v>
      </c>
      <c r="D2197" s="378" t="s">
        <v>26</v>
      </c>
      <c r="E2197" s="378" t="s">
        <v>26</v>
      </c>
      <c r="F2197" s="378" t="s">
        <v>26</v>
      </c>
      <c r="G2197" s="378" t="s">
        <v>26</v>
      </c>
      <c r="H2197" s="379" t="s">
        <v>130</v>
      </c>
    </row>
    <row r="2198" spans="1:8" ht="18.75" customHeight="1">
      <c r="A2198" s="376">
        <v>3</v>
      </c>
      <c r="B2198" s="579" t="s">
        <v>143</v>
      </c>
      <c r="C2198" s="579"/>
      <c r="D2198" s="579"/>
      <c r="E2198" s="579"/>
      <c r="F2198" s="579"/>
      <c r="G2198" s="579"/>
      <c r="H2198" s="579"/>
    </row>
    <row r="2199" spans="1:8" ht="31.5">
      <c r="A2199" s="376" t="s">
        <v>756</v>
      </c>
      <c r="B2199" s="382" t="s">
        <v>144</v>
      </c>
      <c r="C2199" s="378" t="s">
        <v>26</v>
      </c>
      <c r="D2199" s="378" t="s">
        <v>26</v>
      </c>
      <c r="E2199" s="378" t="s">
        <v>26</v>
      </c>
      <c r="F2199" s="378" t="s">
        <v>26</v>
      </c>
      <c r="G2199" s="378" t="s">
        <v>26</v>
      </c>
      <c r="H2199" s="379" t="s">
        <v>130</v>
      </c>
    </row>
    <row r="2200" spans="1:8" ht="15.75">
      <c r="A2200" s="376" t="s">
        <v>757</v>
      </c>
      <c r="B2200" s="382" t="s">
        <v>145</v>
      </c>
      <c r="C2200" s="378" t="s">
        <v>286</v>
      </c>
      <c r="D2200" s="378" t="s">
        <v>287</v>
      </c>
      <c r="E2200" s="378" t="s">
        <v>26</v>
      </c>
      <c r="F2200" s="378" t="s">
        <v>26</v>
      </c>
      <c r="G2200" s="383">
        <v>0</v>
      </c>
      <c r="H2200" s="379"/>
    </row>
    <row r="2201" spans="1:8" ht="15.75">
      <c r="A2201" s="376" t="s">
        <v>147</v>
      </c>
      <c r="B2201" s="382" t="s">
        <v>148</v>
      </c>
      <c r="C2201" s="378" t="s">
        <v>288</v>
      </c>
      <c r="D2201" s="378" t="s">
        <v>289</v>
      </c>
      <c r="E2201" s="378" t="s">
        <v>26</v>
      </c>
      <c r="F2201" s="378" t="s">
        <v>26</v>
      </c>
      <c r="G2201" s="383">
        <v>0</v>
      </c>
      <c r="H2201" s="379"/>
    </row>
    <row r="2202" spans="1:8" ht="15.75">
      <c r="A2202" s="376" t="s">
        <v>151</v>
      </c>
      <c r="B2202" s="382" t="s">
        <v>152</v>
      </c>
      <c r="C2202" s="378" t="s">
        <v>290</v>
      </c>
      <c r="D2202" s="378" t="s">
        <v>291</v>
      </c>
      <c r="E2202" s="378" t="s">
        <v>26</v>
      </c>
      <c r="F2202" s="378" t="s">
        <v>26</v>
      </c>
      <c r="G2202" s="383">
        <v>0</v>
      </c>
      <c r="H2202" s="379"/>
    </row>
    <row r="2203" spans="1:8" ht="15.75">
      <c r="A2203" s="376" t="s">
        <v>155</v>
      </c>
      <c r="B2203" s="382" t="s">
        <v>156</v>
      </c>
      <c r="C2203" s="378" t="s">
        <v>292</v>
      </c>
      <c r="D2203" s="378" t="s">
        <v>285</v>
      </c>
      <c r="E2203" s="378" t="s">
        <v>26</v>
      </c>
      <c r="F2203" s="378" t="s">
        <v>26</v>
      </c>
      <c r="G2203" s="383">
        <v>0</v>
      </c>
      <c r="H2203" s="379"/>
    </row>
    <row r="2204" spans="1:8" ht="18.75" customHeight="1">
      <c r="A2204" s="376">
        <v>4</v>
      </c>
      <c r="B2204" s="579" t="s">
        <v>159</v>
      </c>
      <c r="C2204" s="579"/>
      <c r="D2204" s="579"/>
      <c r="E2204" s="579"/>
      <c r="F2204" s="579"/>
      <c r="G2204" s="579"/>
      <c r="H2204" s="579"/>
    </row>
    <row r="2205" spans="1:8" ht="31.5">
      <c r="A2205" s="376" t="s">
        <v>160</v>
      </c>
      <c r="B2205" s="381" t="s">
        <v>161</v>
      </c>
      <c r="C2205" s="378" t="s">
        <v>26</v>
      </c>
      <c r="D2205" s="378" t="s">
        <v>26</v>
      </c>
      <c r="E2205" s="378" t="s">
        <v>26</v>
      </c>
      <c r="F2205" s="378" t="s">
        <v>26</v>
      </c>
      <c r="G2205" s="378" t="s">
        <v>26</v>
      </c>
      <c r="H2205" s="379" t="s">
        <v>130</v>
      </c>
    </row>
    <row r="2206" spans="1:8" ht="47.25">
      <c r="A2206" s="376" t="s">
        <v>162</v>
      </c>
      <c r="B2206" s="381" t="s">
        <v>163</v>
      </c>
      <c r="C2206" s="378" t="s">
        <v>26</v>
      </c>
      <c r="D2206" s="378" t="s">
        <v>26</v>
      </c>
      <c r="E2206" s="378" t="s">
        <v>26</v>
      </c>
      <c r="F2206" s="378" t="s">
        <v>26</v>
      </c>
      <c r="G2206" s="378" t="s">
        <v>26</v>
      </c>
      <c r="H2206" s="379" t="s">
        <v>130</v>
      </c>
    </row>
    <row r="2207" spans="1:8" ht="31.5">
      <c r="A2207" s="376" t="s">
        <v>164</v>
      </c>
      <c r="B2207" s="382" t="s">
        <v>165</v>
      </c>
      <c r="C2207" s="378" t="s">
        <v>26</v>
      </c>
      <c r="D2207" s="378" t="s">
        <v>26</v>
      </c>
      <c r="E2207" s="378" t="s">
        <v>26</v>
      </c>
      <c r="F2207" s="378" t="s">
        <v>26</v>
      </c>
      <c r="G2207" s="378" t="s">
        <v>26</v>
      </c>
      <c r="H2207" s="379" t="s">
        <v>130</v>
      </c>
    </row>
    <row r="2208" spans="1:8" ht="31.5">
      <c r="A2208" s="384" t="s">
        <v>166</v>
      </c>
      <c r="B2208" s="385" t="s">
        <v>167</v>
      </c>
      <c r="C2208" s="386" t="s">
        <v>26</v>
      </c>
      <c r="D2208" s="386" t="s">
        <v>26</v>
      </c>
      <c r="E2208" s="386" t="s">
        <v>26</v>
      </c>
      <c r="F2208" s="386" t="s">
        <v>26</v>
      </c>
      <c r="G2208" s="386" t="s">
        <v>26</v>
      </c>
      <c r="H2208" s="387" t="s">
        <v>130</v>
      </c>
    </row>
    <row r="2209" spans="1:8" ht="15.75">
      <c r="A2209" s="388"/>
      <c r="B2209" s="389"/>
      <c r="C2209" s="390"/>
      <c r="D2209" s="390"/>
      <c r="E2209" s="390"/>
      <c r="F2209" s="390"/>
      <c r="G2209" s="390"/>
      <c r="H2209" s="98"/>
    </row>
    <row r="2210" spans="1:8" ht="18.75" customHeight="1">
      <c r="A2210" s="580" t="s">
        <v>168</v>
      </c>
      <c r="B2210" s="580"/>
      <c r="C2210" s="580"/>
      <c r="D2210" s="580"/>
      <c r="E2210" s="580"/>
      <c r="F2210" s="580"/>
      <c r="G2210" s="580"/>
      <c r="H2210" s="580"/>
    </row>
    <row r="2213" ht="15.75">
      <c r="H2213" s="6" t="s">
        <v>113</v>
      </c>
    </row>
    <row r="2214" ht="15.75">
      <c r="H2214" s="6" t="s">
        <v>114</v>
      </c>
    </row>
    <row r="2215" ht="15.75">
      <c r="H2215" s="6" t="s">
        <v>115</v>
      </c>
    </row>
    <row r="2216" ht="15.75">
      <c r="H2216" s="6"/>
    </row>
    <row r="2217" spans="1:8" ht="18.75" customHeight="1">
      <c r="A2217" s="622" t="s">
        <v>116</v>
      </c>
      <c r="B2217" s="622"/>
      <c r="C2217" s="622"/>
      <c r="D2217" s="622"/>
      <c r="E2217" s="622"/>
      <c r="F2217" s="622"/>
      <c r="G2217" s="622"/>
      <c r="H2217" s="622"/>
    </row>
    <row r="2218" spans="1:8" ht="18.75" customHeight="1">
      <c r="A2218" s="622" t="s">
        <v>117</v>
      </c>
      <c r="B2218" s="622"/>
      <c r="C2218" s="622"/>
      <c r="D2218" s="622"/>
      <c r="E2218" s="622"/>
      <c r="F2218" s="622"/>
      <c r="G2218" s="622"/>
      <c r="H2218" s="622"/>
    </row>
    <row r="2219" ht="15.75">
      <c r="H2219" s="6" t="s">
        <v>562</v>
      </c>
    </row>
    <row r="2220" ht="15.75">
      <c r="H2220" s="6" t="s">
        <v>769</v>
      </c>
    </row>
    <row r="2221" ht="15.75">
      <c r="H2221" s="6" t="s">
        <v>770</v>
      </c>
    </row>
    <row r="2222" ht="15.75">
      <c r="H2222" s="361" t="str">
        <f>H11</f>
        <v>                         Добровольский К.А.</v>
      </c>
    </row>
    <row r="2223" ht="15.75">
      <c r="H2223" s="6" t="s">
        <v>772</v>
      </c>
    </row>
    <row r="2224" ht="15.75">
      <c r="H2224" s="6" t="s">
        <v>567</v>
      </c>
    </row>
    <row r="2225" ht="15.75">
      <c r="A2225" s="362"/>
    </row>
    <row r="2226" ht="15.75">
      <c r="A2226" s="3" t="s">
        <v>293</v>
      </c>
    </row>
    <row r="2227" spans="1:8" ht="18.75" customHeight="1">
      <c r="A2227" s="623" t="s">
        <v>120</v>
      </c>
      <c r="B2227" s="623"/>
      <c r="C2227" s="623"/>
      <c r="D2227" s="623"/>
      <c r="E2227" s="623"/>
      <c r="F2227" s="623"/>
      <c r="G2227" s="623"/>
      <c r="H2227" s="623"/>
    </row>
    <row r="2228" spans="1:8" ht="15.75">
      <c r="A2228" s="364"/>
      <c r="B2228" s="364"/>
      <c r="C2228" s="366"/>
      <c r="D2228" s="366"/>
      <c r="E2228" s="366"/>
      <c r="F2228" s="366"/>
      <c r="G2228" s="366"/>
      <c r="H2228" s="366"/>
    </row>
    <row r="2229" spans="1:8" ht="16.5" customHeight="1">
      <c r="A2229" s="581" t="s">
        <v>121</v>
      </c>
      <c r="B2229" s="559" t="s">
        <v>122</v>
      </c>
      <c r="C2229" s="560" t="s">
        <v>123</v>
      </c>
      <c r="D2229" s="560"/>
      <c r="E2229" s="560"/>
      <c r="F2229" s="560"/>
      <c r="G2229" s="561" t="s">
        <v>124</v>
      </c>
      <c r="H2229" s="581" t="s">
        <v>125</v>
      </c>
    </row>
    <row r="2230" spans="1:8" ht="15.75">
      <c r="A2230" s="581"/>
      <c r="B2230" s="559"/>
      <c r="C2230" s="560"/>
      <c r="D2230" s="560"/>
      <c r="E2230" s="560"/>
      <c r="F2230" s="560"/>
      <c r="G2230" s="561"/>
      <c r="H2230" s="581"/>
    </row>
    <row r="2231" spans="1:8" ht="31.5">
      <c r="A2231" s="581"/>
      <c r="B2231" s="559"/>
      <c r="C2231" s="369" t="s">
        <v>126</v>
      </c>
      <c r="D2231" s="369" t="s">
        <v>127</v>
      </c>
      <c r="E2231" s="370" t="s">
        <v>126</v>
      </c>
      <c r="F2231" s="371" t="s">
        <v>127</v>
      </c>
      <c r="G2231" s="561"/>
      <c r="H2231" s="581"/>
    </row>
    <row r="2232" spans="1:8" ht="15.75">
      <c r="A2232" s="367">
        <v>1</v>
      </c>
      <c r="B2232" s="367">
        <v>2</v>
      </c>
      <c r="C2232" s="372">
        <v>3</v>
      </c>
      <c r="D2232" s="372">
        <v>4</v>
      </c>
      <c r="E2232" s="373"/>
      <c r="F2232" s="374"/>
      <c r="G2232" s="368">
        <v>5</v>
      </c>
      <c r="H2232" s="367">
        <v>6</v>
      </c>
    </row>
    <row r="2233" spans="1:8" ht="18.75" customHeight="1">
      <c r="A2233" s="375">
        <v>1</v>
      </c>
      <c r="B2233" s="582" t="s">
        <v>128</v>
      </c>
      <c r="C2233" s="582"/>
      <c r="D2233" s="582"/>
      <c r="E2233" s="582"/>
      <c r="F2233" s="582"/>
      <c r="G2233" s="582"/>
      <c r="H2233" s="582"/>
    </row>
    <row r="2234" spans="1:8" ht="15.75">
      <c r="A2234" s="376" t="s">
        <v>594</v>
      </c>
      <c r="B2234" s="377" t="s">
        <v>129</v>
      </c>
      <c r="C2234" s="378" t="s">
        <v>26</v>
      </c>
      <c r="D2234" s="378" t="s">
        <v>26</v>
      </c>
      <c r="E2234" s="378" t="s">
        <v>26</v>
      </c>
      <c r="F2234" s="378" t="s">
        <v>26</v>
      </c>
      <c r="G2234" s="378" t="s">
        <v>26</v>
      </c>
      <c r="H2234" s="379" t="s">
        <v>130</v>
      </c>
    </row>
    <row r="2235" spans="1:8" ht="15.75">
      <c r="A2235" s="376" t="s">
        <v>735</v>
      </c>
      <c r="B2235" s="377" t="s">
        <v>131</v>
      </c>
      <c r="C2235" s="378" t="s">
        <v>26</v>
      </c>
      <c r="D2235" s="378" t="s">
        <v>26</v>
      </c>
      <c r="E2235" s="378" t="s">
        <v>26</v>
      </c>
      <c r="F2235" s="378" t="s">
        <v>26</v>
      </c>
      <c r="G2235" s="378" t="s">
        <v>26</v>
      </c>
      <c r="H2235" s="379" t="s">
        <v>130</v>
      </c>
    </row>
    <row r="2236" spans="1:8" ht="31.5">
      <c r="A2236" s="376" t="s">
        <v>737</v>
      </c>
      <c r="B2236" s="381" t="s">
        <v>132</v>
      </c>
      <c r="C2236" s="566" t="s">
        <v>101</v>
      </c>
      <c r="D2236" s="566" t="s">
        <v>102</v>
      </c>
      <c r="E2236" s="378" t="s">
        <v>26</v>
      </c>
      <c r="F2236" s="378" t="s">
        <v>26</v>
      </c>
      <c r="G2236" s="378" t="s">
        <v>26</v>
      </c>
      <c r="H2236" s="379" t="s">
        <v>130</v>
      </c>
    </row>
    <row r="2237" spans="1:8" ht="47.25">
      <c r="A2237" s="376" t="s">
        <v>739</v>
      </c>
      <c r="B2237" s="381" t="s">
        <v>133</v>
      </c>
      <c r="C2237" s="566" t="s">
        <v>103</v>
      </c>
      <c r="D2237" s="566" t="s">
        <v>104</v>
      </c>
      <c r="E2237" s="378" t="s">
        <v>26</v>
      </c>
      <c r="F2237" s="378" t="s">
        <v>26</v>
      </c>
      <c r="G2237" s="378" t="s">
        <v>26</v>
      </c>
      <c r="H2237" s="379" t="s">
        <v>130</v>
      </c>
    </row>
    <row r="2238" spans="1:8" ht="15.75">
      <c r="A2238" s="376" t="s">
        <v>852</v>
      </c>
      <c r="B2238" s="382" t="s">
        <v>134</v>
      </c>
      <c r="C2238" s="566" t="s">
        <v>105</v>
      </c>
      <c r="D2238" s="566" t="s">
        <v>106</v>
      </c>
      <c r="E2238" s="378" t="s">
        <v>26</v>
      </c>
      <c r="F2238" s="378" t="s">
        <v>26</v>
      </c>
      <c r="G2238" s="378" t="s">
        <v>26</v>
      </c>
      <c r="H2238" s="379" t="s">
        <v>130</v>
      </c>
    </row>
    <row r="2239" spans="1:8" ht="15.75">
      <c r="A2239" s="376" t="s">
        <v>853</v>
      </c>
      <c r="B2239" s="382" t="s">
        <v>135</v>
      </c>
      <c r="C2239" s="566" t="s">
        <v>101</v>
      </c>
      <c r="D2239" s="566" t="s">
        <v>107</v>
      </c>
      <c r="E2239" s="378" t="s">
        <v>26</v>
      </c>
      <c r="F2239" s="378" t="s">
        <v>26</v>
      </c>
      <c r="G2239" s="378" t="s">
        <v>26</v>
      </c>
      <c r="H2239" s="379" t="s">
        <v>130</v>
      </c>
    </row>
    <row r="2240" spans="1:8" ht="18.75" customHeight="1">
      <c r="A2240" s="376">
        <v>2</v>
      </c>
      <c r="B2240" s="579" t="s">
        <v>136</v>
      </c>
      <c r="C2240" s="579"/>
      <c r="D2240" s="579"/>
      <c r="E2240" s="579"/>
      <c r="F2240" s="579"/>
      <c r="G2240" s="579"/>
      <c r="H2240" s="579"/>
    </row>
    <row r="2241" spans="1:8" ht="31.5">
      <c r="A2241" s="376" t="s">
        <v>743</v>
      </c>
      <c r="B2241" s="381" t="s">
        <v>137</v>
      </c>
      <c r="C2241" s="378" t="s">
        <v>284</v>
      </c>
      <c r="D2241" s="378" t="s">
        <v>285</v>
      </c>
      <c r="E2241" s="378" t="s">
        <v>26</v>
      </c>
      <c r="F2241" s="378" t="s">
        <v>26</v>
      </c>
      <c r="G2241" s="383">
        <v>0</v>
      </c>
      <c r="H2241" s="379"/>
    </row>
    <row r="2242" spans="1:8" ht="47.25">
      <c r="A2242" s="376" t="s">
        <v>746</v>
      </c>
      <c r="B2242" s="381" t="s">
        <v>140</v>
      </c>
      <c r="C2242" s="378" t="s">
        <v>26</v>
      </c>
      <c r="D2242" s="378" t="s">
        <v>26</v>
      </c>
      <c r="E2242" s="378" t="s">
        <v>26</v>
      </c>
      <c r="F2242" s="378" t="s">
        <v>26</v>
      </c>
      <c r="G2242" s="378" t="s">
        <v>26</v>
      </c>
      <c r="H2242" s="379" t="s">
        <v>130</v>
      </c>
    </row>
    <row r="2243" spans="1:8" ht="31.5">
      <c r="A2243" s="376" t="s">
        <v>141</v>
      </c>
      <c r="B2243" s="381" t="s">
        <v>142</v>
      </c>
      <c r="C2243" s="378" t="s">
        <v>26</v>
      </c>
      <c r="D2243" s="378" t="s">
        <v>26</v>
      </c>
      <c r="E2243" s="378" t="s">
        <v>26</v>
      </c>
      <c r="F2243" s="378" t="s">
        <v>26</v>
      </c>
      <c r="G2243" s="378" t="s">
        <v>26</v>
      </c>
      <c r="H2243" s="379" t="s">
        <v>130</v>
      </c>
    </row>
    <row r="2244" spans="1:8" ht="18.75" customHeight="1">
      <c r="A2244" s="376">
        <v>3</v>
      </c>
      <c r="B2244" s="579" t="s">
        <v>143</v>
      </c>
      <c r="C2244" s="579"/>
      <c r="D2244" s="579"/>
      <c r="E2244" s="579"/>
      <c r="F2244" s="579"/>
      <c r="G2244" s="579"/>
      <c r="H2244" s="579"/>
    </row>
    <row r="2245" spans="1:8" ht="31.5">
      <c r="A2245" s="376" t="s">
        <v>756</v>
      </c>
      <c r="B2245" s="382" t="s">
        <v>144</v>
      </c>
      <c r="C2245" s="378" t="s">
        <v>26</v>
      </c>
      <c r="D2245" s="378" t="s">
        <v>26</v>
      </c>
      <c r="E2245" s="378" t="s">
        <v>26</v>
      </c>
      <c r="F2245" s="378" t="s">
        <v>26</v>
      </c>
      <c r="G2245" s="378" t="s">
        <v>26</v>
      </c>
      <c r="H2245" s="379" t="s">
        <v>130</v>
      </c>
    </row>
    <row r="2246" spans="1:8" ht="15.75">
      <c r="A2246" s="376" t="s">
        <v>757</v>
      </c>
      <c r="B2246" s="382" t="s">
        <v>145</v>
      </c>
      <c r="C2246" s="378" t="s">
        <v>286</v>
      </c>
      <c r="D2246" s="378" t="s">
        <v>287</v>
      </c>
      <c r="E2246" s="378" t="s">
        <v>26</v>
      </c>
      <c r="F2246" s="378" t="s">
        <v>26</v>
      </c>
      <c r="G2246" s="383">
        <v>0</v>
      </c>
      <c r="H2246" s="379"/>
    </row>
    <row r="2247" spans="1:8" ht="15.75">
      <c r="A2247" s="376" t="s">
        <v>147</v>
      </c>
      <c r="B2247" s="382" t="s">
        <v>148</v>
      </c>
      <c r="C2247" s="378" t="s">
        <v>288</v>
      </c>
      <c r="D2247" s="378" t="s">
        <v>289</v>
      </c>
      <c r="E2247" s="378" t="s">
        <v>26</v>
      </c>
      <c r="F2247" s="378" t="s">
        <v>26</v>
      </c>
      <c r="G2247" s="383">
        <v>0</v>
      </c>
      <c r="H2247" s="379"/>
    </row>
    <row r="2248" spans="1:8" ht="15.75">
      <c r="A2248" s="376" t="s">
        <v>151</v>
      </c>
      <c r="B2248" s="382" t="s">
        <v>152</v>
      </c>
      <c r="C2248" s="378" t="s">
        <v>290</v>
      </c>
      <c r="D2248" s="378" t="s">
        <v>291</v>
      </c>
      <c r="E2248" s="378" t="s">
        <v>26</v>
      </c>
      <c r="F2248" s="378" t="s">
        <v>26</v>
      </c>
      <c r="G2248" s="383">
        <v>0</v>
      </c>
      <c r="H2248" s="379"/>
    </row>
    <row r="2249" spans="1:8" ht="15.75">
      <c r="A2249" s="376" t="s">
        <v>155</v>
      </c>
      <c r="B2249" s="382" t="s">
        <v>156</v>
      </c>
      <c r="C2249" s="378" t="s">
        <v>292</v>
      </c>
      <c r="D2249" s="378" t="s">
        <v>285</v>
      </c>
      <c r="E2249" s="378" t="s">
        <v>26</v>
      </c>
      <c r="F2249" s="378" t="s">
        <v>26</v>
      </c>
      <c r="G2249" s="383">
        <v>0</v>
      </c>
      <c r="H2249" s="379"/>
    </row>
    <row r="2250" spans="1:8" ht="18.75" customHeight="1">
      <c r="A2250" s="376">
        <v>4</v>
      </c>
      <c r="B2250" s="579" t="s">
        <v>159</v>
      </c>
      <c r="C2250" s="579"/>
      <c r="D2250" s="579"/>
      <c r="E2250" s="579"/>
      <c r="F2250" s="579"/>
      <c r="G2250" s="579"/>
      <c r="H2250" s="579"/>
    </row>
    <row r="2251" spans="1:8" ht="31.5">
      <c r="A2251" s="376" t="s">
        <v>160</v>
      </c>
      <c r="B2251" s="381" t="s">
        <v>161</v>
      </c>
      <c r="C2251" s="378" t="s">
        <v>26</v>
      </c>
      <c r="D2251" s="378" t="s">
        <v>26</v>
      </c>
      <c r="E2251" s="378" t="s">
        <v>26</v>
      </c>
      <c r="F2251" s="378" t="s">
        <v>26</v>
      </c>
      <c r="G2251" s="378" t="s">
        <v>26</v>
      </c>
      <c r="H2251" s="379" t="s">
        <v>130</v>
      </c>
    </row>
    <row r="2252" spans="1:8" ht="47.25">
      <c r="A2252" s="376" t="s">
        <v>162</v>
      </c>
      <c r="B2252" s="381" t="s">
        <v>163</v>
      </c>
      <c r="C2252" s="378" t="s">
        <v>26</v>
      </c>
      <c r="D2252" s="378" t="s">
        <v>26</v>
      </c>
      <c r="E2252" s="378" t="s">
        <v>26</v>
      </c>
      <c r="F2252" s="378" t="s">
        <v>26</v>
      </c>
      <c r="G2252" s="378" t="s">
        <v>26</v>
      </c>
      <c r="H2252" s="379" t="s">
        <v>130</v>
      </c>
    </row>
    <row r="2253" spans="1:8" ht="31.5">
      <c r="A2253" s="376" t="s">
        <v>164</v>
      </c>
      <c r="B2253" s="382" t="s">
        <v>165</v>
      </c>
      <c r="C2253" s="378" t="s">
        <v>26</v>
      </c>
      <c r="D2253" s="378" t="s">
        <v>26</v>
      </c>
      <c r="E2253" s="378" t="s">
        <v>26</v>
      </c>
      <c r="F2253" s="378" t="s">
        <v>26</v>
      </c>
      <c r="G2253" s="378" t="s">
        <v>26</v>
      </c>
      <c r="H2253" s="379" t="s">
        <v>130</v>
      </c>
    </row>
    <row r="2254" spans="1:8" ht="31.5">
      <c r="A2254" s="384" t="s">
        <v>166</v>
      </c>
      <c r="B2254" s="385" t="s">
        <v>167</v>
      </c>
      <c r="C2254" s="386" t="s">
        <v>26</v>
      </c>
      <c r="D2254" s="386" t="s">
        <v>26</v>
      </c>
      <c r="E2254" s="386" t="s">
        <v>26</v>
      </c>
      <c r="F2254" s="386" t="s">
        <v>26</v>
      </c>
      <c r="G2254" s="386" t="s">
        <v>26</v>
      </c>
      <c r="H2254" s="387" t="s">
        <v>130</v>
      </c>
    </row>
    <row r="2255" spans="1:8" ht="15.75">
      <c r="A2255" s="388"/>
      <c r="B2255" s="389"/>
      <c r="C2255" s="390"/>
      <c r="D2255" s="390"/>
      <c r="E2255" s="390"/>
      <c r="F2255" s="390"/>
      <c r="G2255" s="390"/>
      <c r="H2255" s="98"/>
    </row>
    <row r="2256" spans="1:8" ht="18.75" customHeight="1">
      <c r="A2256" s="580" t="s">
        <v>168</v>
      </c>
      <c r="B2256" s="580"/>
      <c r="C2256" s="580"/>
      <c r="D2256" s="580"/>
      <c r="E2256" s="580"/>
      <c r="F2256" s="580"/>
      <c r="G2256" s="580"/>
      <c r="H2256" s="580"/>
    </row>
    <row r="2259" ht="15.75">
      <c r="H2259" s="6" t="s">
        <v>113</v>
      </c>
    </row>
    <row r="2260" ht="15.75">
      <c r="H2260" s="6" t="s">
        <v>114</v>
      </c>
    </row>
    <row r="2261" ht="15.75">
      <c r="H2261" s="6" t="s">
        <v>115</v>
      </c>
    </row>
    <row r="2262" ht="15.75">
      <c r="H2262" s="6"/>
    </row>
    <row r="2263" spans="1:8" ht="18.75" customHeight="1">
      <c r="A2263" s="622" t="s">
        <v>116</v>
      </c>
      <c r="B2263" s="622"/>
      <c r="C2263" s="622"/>
      <c r="D2263" s="622"/>
      <c r="E2263" s="622"/>
      <c r="F2263" s="622"/>
      <c r="G2263" s="622"/>
      <c r="H2263" s="622"/>
    </row>
    <row r="2264" spans="1:8" ht="18.75" customHeight="1">
      <c r="A2264" s="622" t="s">
        <v>117</v>
      </c>
      <c r="B2264" s="622"/>
      <c r="C2264" s="622"/>
      <c r="D2264" s="622"/>
      <c r="E2264" s="622"/>
      <c r="F2264" s="622"/>
      <c r="G2264" s="622"/>
      <c r="H2264" s="622"/>
    </row>
    <row r="2265" ht="15.75">
      <c r="H2265" s="6" t="s">
        <v>562</v>
      </c>
    </row>
    <row r="2266" ht="15.75">
      <c r="H2266" s="6" t="s">
        <v>769</v>
      </c>
    </row>
    <row r="2267" ht="15.75">
      <c r="H2267" s="6" t="s">
        <v>770</v>
      </c>
    </row>
    <row r="2268" ht="15.75">
      <c r="H2268" s="361" t="str">
        <f>H11</f>
        <v>                         Добровольский К.А.</v>
      </c>
    </row>
    <row r="2269" ht="15.75">
      <c r="H2269" s="6" t="s">
        <v>772</v>
      </c>
    </row>
    <row r="2270" ht="15.75">
      <c r="H2270" s="6" t="s">
        <v>567</v>
      </c>
    </row>
    <row r="2271" ht="15.75">
      <c r="A2271" s="362"/>
    </row>
    <row r="2272" ht="15.75">
      <c r="A2272" s="3" t="s">
        <v>294</v>
      </c>
    </row>
    <row r="2273" spans="1:8" ht="18.75" customHeight="1">
      <c r="A2273" s="623" t="s">
        <v>120</v>
      </c>
      <c r="B2273" s="623"/>
      <c r="C2273" s="623"/>
      <c r="D2273" s="623"/>
      <c r="E2273" s="623"/>
      <c r="F2273" s="623"/>
      <c r="G2273" s="623"/>
      <c r="H2273" s="623"/>
    </row>
    <row r="2274" spans="1:8" ht="15.75">
      <c r="A2274" s="364"/>
      <c r="B2274" s="364"/>
      <c r="C2274" s="366"/>
      <c r="D2274" s="366"/>
      <c r="E2274" s="366"/>
      <c r="F2274" s="366"/>
      <c r="G2274" s="366"/>
      <c r="H2274" s="366"/>
    </row>
    <row r="2275" spans="1:8" ht="16.5" customHeight="1">
      <c r="A2275" s="581" t="s">
        <v>121</v>
      </c>
      <c r="B2275" s="559" t="s">
        <v>122</v>
      </c>
      <c r="C2275" s="560" t="s">
        <v>123</v>
      </c>
      <c r="D2275" s="560"/>
      <c r="E2275" s="560"/>
      <c r="F2275" s="560"/>
      <c r="G2275" s="561" t="s">
        <v>124</v>
      </c>
      <c r="H2275" s="581" t="s">
        <v>125</v>
      </c>
    </row>
    <row r="2276" spans="1:8" ht="15.75">
      <c r="A2276" s="581"/>
      <c r="B2276" s="559"/>
      <c r="C2276" s="560"/>
      <c r="D2276" s="560"/>
      <c r="E2276" s="560"/>
      <c r="F2276" s="560"/>
      <c r="G2276" s="561"/>
      <c r="H2276" s="581"/>
    </row>
    <row r="2277" spans="1:8" ht="31.5">
      <c r="A2277" s="581"/>
      <c r="B2277" s="559"/>
      <c r="C2277" s="369" t="s">
        <v>126</v>
      </c>
      <c r="D2277" s="369" t="s">
        <v>127</v>
      </c>
      <c r="E2277" s="370" t="s">
        <v>126</v>
      </c>
      <c r="F2277" s="371" t="s">
        <v>127</v>
      </c>
      <c r="G2277" s="561"/>
      <c r="H2277" s="581"/>
    </row>
    <row r="2278" spans="1:8" ht="15.75">
      <c r="A2278" s="367">
        <v>1</v>
      </c>
      <c r="B2278" s="367">
        <v>2</v>
      </c>
      <c r="C2278" s="372">
        <v>3</v>
      </c>
      <c r="D2278" s="372">
        <v>4</v>
      </c>
      <c r="E2278" s="373"/>
      <c r="F2278" s="374"/>
      <c r="G2278" s="368">
        <v>5</v>
      </c>
      <c r="H2278" s="367">
        <v>6</v>
      </c>
    </row>
    <row r="2279" spans="1:8" ht="18.75" customHeight="1">
      <c r="A2279" s="375">
        <v>1</v>
      </c>
      <c r="B2279" s="582" t="s">
        <v>128</v>
      </c>
      <c r="C2279" s="582"/>
      <c r="D2279" s="582"/>
      <c r="E2279" s="582"/>
      <c r="F2279" s="582"/>
      <c r="G2279" s="582"/>
      <c r="H2279" s="582"/>
    </row>
    <row r="2280" spans="1:8" ht="15.75">
      <c r="A2280" s="376" t="s">
        <v>594</v>
      </c>
      <c r="B2280" s="377" t="s">
        <v>129</v>
      </c>
      <c r="C2280" s="378" t="s">
        <v>26</v>
      </c>
      <c r="D2280" s="378" t="s">
        <v>26</v>
      </c>
      <c r="E2280" s="378" t="s">
        <v>26</v>
      </c>
      <c r="F2280" s="378" t="s">
        <v>26</v>
      </c>
      <c r="G2280" s="378" t="s">
        <v>26</v>
      </c>
      <c r="H2280" s="379" t="s">
        <v>130</v>
      </c>
    </row>
    <row r="2281" spans="1:8" ht="15.75">
      <c r="A2281" s="376" t="s">
        <v>735</v>
      </c>
      <c r="B2281" s="377" t="s">
        <v>131</v>
      </c>
      <c r="C2281" s="378" t="s">
        <v>26</v>
      </c>
      <c r="D2281" s="378" t="s">
        <v>26</v>
      </c>
      <c r="E2281" s="378" t="s">
        <v>26</v>
      </c>
      <c r="F2281" s="378" t="s">
        <v>26</v>
      </c>
      <c r="G2281" s="378" t="s">
        <v>26</v>
      </c>
      <c r="H2281" s="379" t="s">
        <v>130</v>
      </c>
    </row>
    <row r="2282" spans="1:8" ht="31.5">
      <c r="A2282" s="376" t="s">
        <v>737</v>
      </c>
      <c r="B2282" s="381" t="s">
        <v>132</v>
      </c>
      <c r="C2282" s="566" t="s">
        <v>101</v>
      </c>
      <c r="D2282" s="566" t="s">
        <v>102</v>
      </c>
      <c r="E2282" s="378" t="s">
        <v>26</v>
      </c>
      <c r="F2282" s="378" t="s">
        <v>26</v>
      </c>
      <c r="G2282" s="378" t="s">
        <v>26</v>
      </c>
      <c r="H2282" s="379" t="s">
        <v>130</v>
      </c>
    </row>
    <row r="2283" spans="1:8" ht="47.25">
      <c r="A2283" s="376" t="s">
        <v>739</v>
      </c>
      <c r="B2283" s="381" t="s">
        <v>133</v>
      </c>
      <c r="C2283" s="566" t="s">
        <v>103</v>
      </c>
      <c r="D2283" s="566" t="s">
        <v>104</v>
      </c>
      <c r="E2283" s="378" t="s">
        <v>26</v>
      </c>
      <c r="F2283" s="378" t="s">
        <v>26</v>
      </c>
      <c r="G2283" s="378" t="s">
        <v>26</v>
      </c>
      <c r="H2283" s="379" t="s">
        <v>130</v>
      </c>
    </row>
    <row r="2284" spans="1:8" ht="15.75">
      <c r="A2284" s="376" t="s">
        <v>852</v>
      </c>
      <c r="B2284" s="382" t="s">
        <v>134</v>
      </c>
      <c r="C2284" s="566" t="s">
        <v>105</v>
      </c>
      <c r="D2284" s="566" t="s">
        <v>106</v>
      </c>
      <c r="E2284" s="378" t="s">
        <v>26</v>
      </c>
      <c r="F2284" s="378" t="s">
        <v>26</v>
      </c>
      <c r="G2284" s="378" t="s">
        <v>26</v>
      </c>
      <c r="H2284" s="379" t="s">
        <v>130</v>
      </c>
    </row>
    <row r="2285" spans="1:8" ht="15.75">
      <c r="A2285" s="376" t="s">
        <v>853</v>
      </c>
      <c r="B2285" s="382" t="s">
        <v>135</v>
      </c>
      <c r="C2285" s="566" t="s">
        <v>101</v>
      </c>
      <c r="D2285" s="566" t="s">
        <v>107</v>
      </c>
      <c r="E2285" s="378" t="s">
        <v>26</v>
      </c>
      <c r="F2285" s="378" t="s">
        <v>26</v>
      </c>
      <c r="G2285" s="378" t="s">
        <v>26</v>
      </c>
      <c r="H2285" s="379" t="s">
        <v>130</v>
      </c>
    </row>
    <row r="2286" spans="1:8" ht="18.75" customHeight="1">
      <c r="A2286" s="376">
        <v>2</v>
      </c>
      <c r="B2286" s="579" t="s">
        <v>136</v>
      </c>
      <c r="C2286" s="579"/>
      <c r="D2286" s="579"/>
      <c r="E2286" s="579"/>
      <c r="F2286" s="579"/>
      <c r="G2286" s="579"/>
      <c r="H2286" s="579"/>
    </row>
    <row r="2287" spans="1:8" ht="31.5">
      <c r="A2287" s="376" t="s">
        <v>743</v>
      </c>
      <c r="B2287" s="381" t="s">
        <v>137</v>
      </c>
      <c r="C2287" s="378" t="s">
        <v>274</v>
      </c>
      <c r="D2287" s="378" t="s">
        <v>275</v>
      </c>
      <c r="E2287" s="378" t="s">
        <v>26</v>
      </c>
      <c r="F2287" s="378" t="s">
        <v>26</v>
      </c>
      <c r="G2287" s="383">
        <v>0</v>
      </c>
      <c r="H2287" s="379"/>
    </row>
    <row r="2288" spans="1:8" ht="47.25">
      <c r="A2288" s="376" t="s">
        <v>746</v>
      </c>
      <c r="B2288" s="381" t="s">
        <v>140</v>
      </c>
      <c r="C2288" s="378" t="s">
        <v>26</v>
      </c>
      <c r="D2288" s="378" t="s">
        <v>26</v>
      </c>
      <c r="E2288" s="378" t="s">
        <v>26</v>
      </c>
      <c r="F2288" s="378" t="s">
        <v>26</v>
      </c>
      <c r="G2288" s="378" t="s">
        <v>26</v>
      </c>
      <c r="H2288" s="379" t="s">
        <v>130</v>
      </c>
    </row>
    <row r="2289" spans="1:8" ht="31.5">
      <c r="A2289" s="376" t="s">
        <v>141</v>
      </c>
      <c r="B2289" s="381" t="s">
        <v>142</v>
      </c>
      <c r="C2289" s="378" t="s">
        <v>26</v>
      </c>
      <c r="D2289" s="378" t="s">
        <v>26</v>
      </c>
      <c r="E2289" s="378" t="s">
        <v>26</v>
      </c>
      <c r="F2289" s="378" t="s">
        <v>26</v>
      </c>
      <c r="G2289" s="378" t="s">
        <v>26</v>
      </c>
      <c r="H2289" s="379" t="s">
        <v>130</v>
      </c>
    </row>
    <row r="2290" spans="1:8" ht="18.75" customHeight="1">
      <c r="A2290" s="376">
        <v>3</v>
      </c>
      <c r="B2290" s="579" t="s">
        <v>143</v>
      </c>
      <c r="C2290" s="579"/>
      <c r="D2290" s="579"/>
      <c r="E2290" s="579"/>
      <c r="F2290" s="579"/>
      <c r="G2290" s="579"/>
      <c r="H2290" s="579"/>
    </row>
    <row r="2291" spans="1:8" ht="31.5">
      <c r="A2291" s="376" t="s">
        <v>756</v>
      </c>
      <c r="B2291" s="382" t="s">
        <v>144</v>
      </c>
      <c r="C2291" s="378" t="s">
        <v>26</v>
      </c>
      <c r="D2291" s="378" t="s">
        <v>26</v>
      </c>
      <c r="E2291" s="378" t="s">
        <v>26</v>
      </c>
      <c r="F2291" s="378" t="s">
        <v>26</v>
      </c>
      <c r="G2291" s="378" t="s">
        <v>26</v>
      </c>
      <c r="H2291" s="379" t="s">
        <v>130</v>
      </c>
    </row>
    <row r="2292" spans="1:8" ht="15.75">
      <c r="A2292" s="376" t="s">
        <v>757</v>
      </c>
      <c r="B2292" s="382" t="s">
        <v>145</v>
      </c>
      <c r="C2292" s="378" t="s">
        <v>274</v>
      </c>
      <c r="D2292" s="378" t="s">
        <v>276</v>
      </c>
      <c r="E2292" s="378" t="s">
        <v>26</v>
      </c>
      <c r="F2292" s="378" t="s">
        <v>26</v>
      </c>
      <c r="G2292" s="383">
        <v>0</v>
      </c>
      <c r="H2292" s="379"/>
    </row>
    <row r="2293" spans="1:8" ht="15.75">
      <c r="A2293" s="376" t="s">
        <v>147</v>
      </c>
      <c r="B2293" s="382" t="s">
        <v>148</v>
      </c>
      <c r="C2293" s="378" t="s">
        <v>277</v>
      </c>
      <c r="D2293" s="378" t="s">
        <v>278</v>
      </c>
      <c r="E2293" s="378" t="s">
        <v>26</v>
      </c>
      <c r="F2293" s="378" t="s">
        <v>26</v>
      </c>
      <c r="G2293" s="383">
        <v>0</v>
      </c>
      <c r="H2293" s="379"/>
    </row>
    <row r="2294" spans="1:8" ht="15.75">
      <c r="A2294" s="376" t="s">
        <v>151</v>
      </c>
      <c r="B2294" s="382" t="s">
        <v>152</v>
      </c>
      <c r="C2294" s="378" t="s">
        <v>279</v>
      </c>
      <c r="D2294" s="378" t="s">
        <v>280</v>
      </c>
      <c r="E2294" s="378" t="s">
        <v>26</v>
      </c>
      <c r="F2294" s="378" t="s">
        <v>26</v>
      </c>
      <c r="G2294" s="383">
        <v>0</v>
      </c>
      <c r="H2294" s="379"/>
    </row>
    <row r="2295" spans="1:8" ht="15.75">
      <c r="A2295" s="376" t="s">
        <v>155</v>
      </c>
      <c r="B2295" s="382" t="s">
        <v>156</v>
      </c>
      <c r="C2295" s="378" t="s">
        <v>281</v>
      </c>
      <c r="D2295" s="378" t="s">
        <v>275</v>
      </c>
      <c r="E2295" s="378" t="s">
        <v>26</v>
      </c>
      <c r="F2295" s="378" t="s">
        <v>26</v>
      </c>
      <c r="G2295" s="383">
        <v>0</v>
      </c>
      <c r="H2295" s="379"/>
    </row>
    <row r="2296" spans="1:8" ht="18.75" customHeight="1">
      <c r="A2296" s="376">
        <v>4</v>
      </c>
      <c r="B2296" s="579" t="s">
        <v>159</v>
      </c>
      <c r="C2296" s="579"/>
      <c r="D2296" s="579"/>
      <c r="E2296" s="579"/>
      <c r="F2296" s="579"/>
      <c r="G2296" s="579"/>
      <c r="H2296" s="579"/>
    </row>
    <row r="2297" spans="1:8" ht="31.5">
      <c r="A2297" s="376" t="s">
        <v>160</v>
      </c>
      <c r="B2297" s="381" t="s">
        <v>161</v>
      </c>
      <c r="C2297" s="378" t="s">
        <v>26</v>
      </c>
      <c r="D2297" s="378" t="s">
        <v>26</v>
      </c>
      <c r="E2297" s="378" t="s">
        <v>26</v>
      </c>
      <c r="F2297" s="378" t="s">
        <v>26</v>
      </c>
      <c r="G2297" s="378" t="s">
        <v>26</v>
      </c>
      <c r="H2297" s="379" t="s">
        <v>130</v>
      </c>
    </row>
    <row r="2298" spans="1:8" ht="47.25">
      <c r="A2298" s="376" t="s">
        <v>162</v>
      </c>
      <c r="B2298" s="381" t="s">
        <v>163</v>
      </c>
      <c r="C2298" s="378" t="s">
        <v>26</v>
      </c>
      <c r="D2298" s="378" t="s">
        <v>26</v>
      </c>
      <c r="E2298" s="378" t="s">
        <v>26</v>
      </c>
      <c r="F2298" s="378" t="s">
        <v>26</v>
      </c>
      <c r="G2298" s="378" t="s">
        <v>26</v>
      </c>
      <c r="H2298" s="379" t="s">
        <v>130</v>
      </c>
    </row>
    <row r="2299" spans="1:8" ht="31.5">
      <c r="A2299" s="376" t="s">
        <v>164</v>
      </c>
      <c r="B2299" s="382" t="s">
        <v>165</v>
      </c>
      <c r="C2299" s="378" t="s">
        <v>26</v>
      </c>
      <c r="D2299" s="378" t="s">
        <v>26</v>
      </c>
      <c r="E2299" s="378" t="s">
        <v>26</v>
      </c>
      <c r="F2299" s="378" t="s">
        <v>26</v>
      </c>
      <c r="G2299" s="378" t="s">
        <v>26</v>
      </c>
      <c r="H2299" s="379" t="s">
        <v>130</v>
      </c>
    </row>
    <row r="2300" spans="1:8" ht="31.5">
      <c r="A2300" s="384" t="s">
        <v>166</v>
      </c>
      <c r="B2300" s="385" t="s">
        <v>167</v>
      </c>
      <c r="C2300" s="386" t="s">
        <v>26</v>
      </c>
      <c r="D2300" s="386" t="s">
        <v>26</v>
      </c>
      <c r="E2300" s="386" t="s">
        <v>26</v>
      </c>
      <c r="F2300" s="386" t="s">
        <v>26</v>
      </c>
      <c r="G2300" s="386" t="s">
        <v>26</v>
      </c>
      <c r="H2300" s="387" t="s">
        <v>130</v>
      </c>
    </row>
    <row r="2301" spans="1:8" ht="15.75">
      <c r="A2301" s="388"/>
      <c r="B2301" s="389"/>
      <c r="C2301" s="390"/>
      <c r="D2301" s="390"/>
      <c r="E2301" s="390"/>
      <c r="F2301" s="390"/>
      <c r="G2301" s="390"/>
      <c r="H2301" s="98"/>
    </row>
    <row r="2302" spans="1:8" ht="18.75" customHeight="1">
      <c r="A2302" s="580" t="s">
        <v>168</v>
      </c>
      <c r="B2302" s="580"/>
      <c r="C2302" s="580"/>
      <c r="D2302" s="580"/>
      <c r="E2302" s="580"/>
      <c r="F2302" s="580"/>
      <c r="G2302" s="580"/>
      <c r="H2302" s="580"/>
    </row>
    <row r="2305" ht="15.75">
      <c r="H2305" s="6" t="s">
        <v>113</v>
      </c>
    </row>
    <row r="2306" ht="15.75">
      <c r="H2306" s="6" t="s">
        <v>114</v>
      </c>
    </row>
    <row r="2307" ht="15.75">
      <c r="H2307" s="6" t="s">
        <v>115</v>
      </c>
    </row>
    <row r="2308" ht="15.75">
      <c r="H2308" s="6"/>
    </row>
    <row r="2309" spans="1:8" ht="18.75" customHeight="1">
      <c r="A2309" s="622" t="s">
        <v>116</v>
      </c>
      <c r="B2309" s="622"/>
      <c r="C2309" s="622"/>
      <c r="D2309" s="622"/>
      <c r="E2309" s="622"/>
      <c r="F2309" s="622"/>
      <c r="G2309" s="622"/>
      <c r="H2309" s="622"/>
    </row>
    <row r="2310" spans="1:8" ht="18.75" customHeight="1">
      <c r="A2310" s="622" t="s">
        <v>117</v>
      </c>
      <c r="B2310" s="622"/>
      <c r="C2310" s="622"/>
      <c r="D2310" s="622"/>
      <c r="E2310" s="622"/>
      <c r="F2310" s="622"/>
      <c r="G2310" s="622"/>
      <c r="H2310" s="622"/>
    </row>
    <row r="2311" ht="15.75">
      <c r="H2311" s="6" t="s">
        <v>562</v>
      </c>
    </row>
    <row r="2312" ht="15.75">
      <c r="H2312" s="6" t="s">
        <v>769</v>
      </c>
    </row>
    <row r="2313" ht="15.75">
      <c r="H2313" s="6" t="s">
        <v>770</v>
      </c>
    </row>
    <row r="2314" ht="15.75">
      <c r="H2314" s="361" t="str">
        <f>H11</f>
        <v>                         Добровольский К.А.</v>
      </c>
    </row>
    <row r="2315" ht="15.75">
      <c r="H2315" s="6" t="s">
        <v>772</v>
      </c>
    </row>
    <row r="2316" ht="15.75">
      <c r="H2316" s="6" t="s">
        <v>567</v>
      </c>
    </row>
    <row r="2317" ht="15.75">
      <c r="A2317" s="362"/>
    </row>
    <row r="2318" ht="15.75">
      <c r="A2318" s="3" t="s">
        <v>295</v>
      </c>
    </row>
    <row r="2319" spans="1:8" ht="18.75" customHeight="1">
      <c r="A2319" s="623" t="s">
        <v>120</v>
      </c>
      <c r="B2319" s="623"/>
      <c r="C2319" s="623"/>
      <c r="D2319" s="623"/>
      <c r="E2319" s="623"/>
      <c r="F2319" s="623"/>
      <c r="G2319" s="623"/>
      <c r="H2319" s="623"/>
    </row>
    <row r="2320" spans="1:8" ht="15.75">
      <c r="A2320" s="364"/>
      <c r="B2320" s="364"/>
      <c r="C2320" s="366"/>
      <c r="D2320" s="366"/>
      <c r="E2320" s="366"/>
      <c r="F2320" s="366"/>
      <c r="G2320" s="366"/>
      <c r="H2320" s="366"/>
    </row>
    <row r="2321" spans="1:8" ht="16.5" customHeight="1">
      <c r="A2321" s="581" t="s">
        <v>121</v>
      </c>
      <c r="B2321" s="559" t="s">
        <v>122</v>
      </c>
      <c r="C2321" s="560" t="s">
        <v>123</v>
      </c>
      <c r="D2321" s="560"/>
      <c r="E2321" s="560"/>
      <c r="F2321" s="560"/>
      <c r="G2321" s="561" t="s">
        <v>124</v>
      </c>
      <c r="H2321" s="581" t="s">
        <v>125</v>
      </c>
    </row>
    <row r="2322" spans="1:8" ht="15.75">
      <c r="A2322" s="581"/>
      <c r="B2322" s="559"/>
      <c r="C2322" s="560"/>
      <c r="D2322" s="560"/>
      <c r="E2322" s="560"/>
      <c r="F2322" s="560"/>
      <c r="G2322" s="561"/>
      <c r="H2322" s="581"/>
    </row>
    <row r="2323" spans="1:8" ht="31.5">
      <c r="A2323" s="581"/>
      <c r="B2323" s="559"/>
      <c r="C2323" s="369" t="s">
        <v>126</v>
      </c>
      <c r="D2323" s="369" t="s">
        <v>127</v>
      </c>
      <c r="E2323" s="370" t="s">
        <v>126</v>
      </c>
      <c r="F2323" s="371" t="s">
        <v>127</v>
      </c>
      <c r="G2323" s="561"/>
      <c r="H2323" s="581"/>
    </row>
    <row r="2324" spans="1:8" ht="15.75">
      <c r="A2324" s="367">
        <v>1</v>
      </c>
      <c r="B2324" s="367">
        <v>2</v>
      </c>
      <c r="C2324" s="372">
        <v>3</v>
      </c>
      <c r="D2324" s="372">
        <v>4</v>
      </c>
      <c r="E2324" s="373"/>
      <c r="F2324" s="374"/>
      <c r="G2324" s="368">
        <v>5</v>
      </c>
      <c r="H2324" s="367">
        <v>6</v>
      </c>
    </row>
    <row r="2325" spans="1:8" ht="18.75" customHeight="1">
      <c r="A2325" s="375">
        <v>1</v>
      </c>
      <c r="B2325" s="582" t="s">
        <v>128</v>
      </c>
      <c r="C2325" s="582"/>
      <c r="D2325" s="582"/>
      <c r="E2325" s="582"/>
      <c r="F2325" s="582"/>
      <c r="G2325" s="582"/>
      <c r="H2325" s="582"/>
    </row>
    <row r="2326" spans="1:8" ht="15.75">
      <c r="A2326" s="376" t="s">
        <v>594</v>
      </c>
      <c r="B2326" s="377" t="s">
        <v>129</v>
      </c>
      <c r="C2326" s="378" t="s">
        <v>26</v>
      </c>
      <c r="D2326" s="378" t="s">
        <v>26</v>
      </c>
      <c r="E2326" s="378" t="s">
        <v>26</v>
      </c>
      <c r="F2326" s="378" t="s">
        <v>26</v>
      </c>
      <c r="G2326" s="378" t="s">
        <v>26</v>
      </c>
      <c r="H2326" s="379" t="s">
        <v>130</v>
      </c>
    </row>
    <row r="2327" spans="1:8" ht="15.75">
      <c r="A2327" s="376" t="s">
        <v>735</v>
      </c>
      <c r="B2327" s="377" t="s">
        <v>131</v>
      </c>
      <c r="C2327" s="378" t="s">
        <v>26</v>
      </c>
      <c r="D2327" s="378" t="s">
        <v>26</v>
      </c>
      <c r="E2327" s="378" t="s">
        <v>26</v>
      </c>
      <c r="F2327" s="378" t="s">
        <v>26</v>
      </c>
      <c r="G2327" s="378" t="s">
        <v>26</v>
      </c>
      <c r="H2327" s="379" t="s">
        <v>130</v>
      </c>
    </row>
    <row r="2328" spans="1:8" ht="31.5">
      <c r="A2328" s="376" t="s">
        <v>737</v>
      </c>
      <c r="B2328" s="381" t="s">
        <v>132</v>
      </c>
      <c r="C2328" s="566" t="s">
        <v>101</v>
      </c>
      <c r="D2328" s="566" t="s">
        <v>102</v>
      </c>
      <c r="E2328" s="378" t="s">
        <v>26</v>
      </c>
      <c r="F2328" s="378" t="s">
        <v>26</v>
      </c>
      <c r="G2328" s="378" t="s">
        <v>26</v>
      </c>
      <c r="H2328" s="379" t="s">
        <v>130</v>
      </c>
    </row>
    <row r="2329" spans="1:8" ht="47.25">
      <c r="A2329" s="376" t="s">
        <v>739</v>
      </c>
      <c r="B2329" s="381" t="s">
        <v>133</v>
      </c>
      <c r="C2329" s="566" t="s">
        <v>103</v>
      </c>
      <c r="D2329" s="566" t="s">
        <v>104</v>
      </c>
      <c r="E2329" s="378" t="s">
        <v>26</v>
      </c>
      <c r="F2329" s="378" t="s">
        <v>26</v>
      </c>
      <c r="G2329" s="378" t="s">
        <v>26</v>
      </c>
      <c r="H2329" s="379" t="s">
        <v>130</v>
      </c>
    </row>
    <row r="2330" spans="1:8" ht="15.75">
      <c r="A2330" s="376" t="s">
        <v>852</v>
      </c>
      <c r="B2330" s="382" t="s">
        <v>134</v>
      </c>
      <c r="C2330" s="566" t="s">
        <v>105</v>
      </c>
      <c r="D2330" s="566" t="s">
        <v>106</v>
      </c>
      <c r="E2330" s="378" t="s">
        <v>26</v>
      </c>
      <c r="F2330" s="378" t="s">
        <v>26</v>
      </c>
      <c r="G2330" s="378" t="s">
        <v>26</v>
      </c>
      <c r="H2330" s="379" t="s">
        <v>130</v>
      </c>
    </row>
    <row r="2331" spans="1:8" ht="15.75">
      <c r="A2331" s="376" t="s">
        <v>853</v>
      </c>
      <c r="B2331" s="382" t="s">
        <v>135</v>
      </c>
      <c r="C2331" s="566" t="s">
        <v>101</v>
      </c>
      <c r="D2331" s="566" t="s">
        <v>107</v>
      </c>
      <c r="E2331" s="378" t="s">
        <v>26</v>
      </c>
      <c r="F2331" s="378" t="s">
        <v>26</v>
      </c>
      <c r="G2331" s="378" t="s">
        <v>26</v>
      </c>
      <c r="H2331" s="379" t="s">
        <v>130</v>
      </c>
    </row>
    <row r="2332" spans="1:8" ht="18.75" customHeight="1">
      <c r="A2332" s="376">
        <v>2</v>
      </c>
      <c r="B2332" s="579" t="s">
        <v>136</v>
      </c>
      <c r="C2332" s="579"/>
      <c r="D2332" s="579"/>
      <c r="E2332" s="579"/>
      <c r="F2332" s="579"/>
      <c r="G2332" s="579"/>
      <c r="H2332" s="579"/>
    </row>
    <row r="2333" spans="1:8" ht="31.5">
      <c r="A2333" s="376" t="s">
        <v>743</v>
      </c>
      <c r="B2333" s="381" t="s">
        <v>137</v>
      </c>
      <c r="C2333" s="378" t="s">
        <v>274</v>
      </c>
      <c r="D2333" s="378" t="s">
        <v>275</v>
      </c>
      <c r="E2333" s="378" t="s">
        <v>26</v>
      </c>
      <c r="F2333" s="378" t="s">
        <v>26</v>
      </c>
      <c r="G2333" s="383">
        <v>0</v>
      </c>
      <c r="H2333" s="379"/>
    </row>
    <row r="2334" spans="1:8" ht="47.25">
      <c r="A2334" s="376" t="s">
        <v>746</v>
      </c>
      <c r="B2334" s="381" t="s">
        <v>140</v>
      </c>
      <c r="C2334" s="378" t="s">
        <v>26</v>
      </c>
      <c r="D2334" s="378" t="s">
        <v>26</v>
      </c>
      <c r="E2334" s="378" t="s">
        <v>26</v>
      </c>
      <c r="F2334" s="378" t="s">
        <v>26</v>
      </c>
      <c r="G2334" s="378" t="s">
        <v>26</v>
      </c>
      <c r="H2334" s="379" t="s">
        <v>130</v>
      </c>
    </row>
    <row r="2335" spans="1:8" ht="31.5">
      <c r="A2335" s="376" t="s">
        <v>141</v>
      </c>
      <c r="B2335" s="381" t="s">
        <v>142</v>
      </c>
      <c r="C2335" s="378" t="s">
        <v>26</v>
      </c>
      <c r="D2335" s="378" t="s">
        <v>26</v>
      </c>
      <c r="E2335" s="378" t="s">
        <v>26</v>
      </c>
      <c r="F2335" s="378" t="s">
        <v>26</v>
      </c>
      <c r="G2335" s="378" t="s">
        <v>26</v>
      </c>
      <c r="H2335" s="379" t="s">
        <v>130</v>
      </c>
    </row>
    <row r="2336" spans="1:8" ht="18.75" customHeight="1">
      <c r="A2336" s="376">
        <v>3</v>
      </c>
      <c r="B2336" s="579" t="s">
        <v>143</v>
      </c>
      <c r="C2336" s="579"/>
      <c r="D2336" s="579"/>
      <c r="E2336" s="579"/>
      <c r="F2336" s="579"/>
      <c r="G2336" s="579"/>
      <c r="H2336" s="579"/>
    </row>
    <row r="2337" spans="1:8" ht="31.5">
      <c r="A2337" s="376" t="s">
        <v>756</v>
      </c>
      <c r="B2337" s="382" t="s">
        <v>144</v>
      </c>
      <c r="C2337" s="378" t="s">
        <v>26</v>
      </c>
      <c r="D2337" s="378" t="s">
        <v>26</v>
      </c>
      <c r="E2337" s="378" t="s">
        <v>26</v>
      </c>
      <c r="F2337" s="378" t="s">
        <v>26</v>
      </c>
      <c r="G2337" s="378" t="s">
        <v>26</v>
      </c>
      <c r="H2337" s="379" t="s">
        <v>130</v>
      </c>
    </row>
    <row r="2338" spans="1:8" ht="15.75">
      <c r="A2338" s="376" t="s">
        <v>757</v>
      </c>
      <c r="B2338" s="382" t="s">
        <v>145</v>
      </c>
      <c r="C2338" s="378" t="s">
        <v>274</v>
      </c>
      <c r="D2338" s="378" t="s">
        <v>276</v>
      </c>
      <c r="E2338" s="378" t="s">
        <v>26</v>
      </c>
      <c r="F2338" s="378" t="s">
        <v>26</v>
      </c>
      <c r="G2338" s="383">
        <v>0</v>
      </c>
      <c r="H2338" s="379"/>
    </row>
    <row r="2339" spans="1:8" ht="15.75">
      <c r="A2339" s="376" t="s">
        <v>147</v>
      </c>
      <c r="B2339" s="382" t="s">
        <v>148</v>
      </c>
      <c r="C2339" s="378" t="s">
        <v>277</v>
      </c>
      <c r="D2339" s="378" t="s">
        <v>278</v>
      </c>
      <c r="E2339" s="378" t="s">
        <v>26</v>
      </c>
      <c r="F2339" s="378" t="s">
        <v>26</v>
      </c>
      <c r="G2339" s="383">
        <v>0</v>
      </c>
      <c r="H2339" s="379"/>
    </row>
    <row r="2340" spans="1:8" ht="15.75">
      <c r="A2340" s="376" t="s">
        <v>151</v>
      </c>
      <c r="B2340" s="382" t="s">
        <v>152</v>
      </c>
      <c r="C2340" s="378" t="s">
        <v>279</v>
      </c>
      <c r="D2340" s="378" t="s">
        <v>280</v>
      </c>
      <c r="E2340" s="378" t="s">
        <v>26</v>
      </c>
      <c r="F2340" s="378" t="s">
        <v>26</v>
      </c>
      <c r="G2340" s="383">
        <v>0</v>
      </c>
      <c r="H2340" s="379"/>
    </row>
    <row r="2341" spans="1:8" ht="15.75">
      <c r="A2341" s="376" t="s">
        <v>155</v>
      </c>
      <c r="B2341" s="382" t="s">
        <v>156</v>
      </c>
      <c r="C2341" s="378" t="s">
        <v>281</v>
      </c>
      <c r="D2341" s="378" t="s">
        <v>275</v>
      </c>
      <c r="E2341" s="378" t="s">
        <v>26</v>
      </c>
      <c r="F2341" s="378" t="s">
        <v>26</v>
      </c>
      <c r="G2341" s="383">
        <v>0</v>
      </c>
      <c r="H2341" s="379"/>
    </row>
    <row r="2342" spans="1:8" ht="18.75" customHeight="1">
      <c r="A2342" s="376">
        <v>4</v>
      </c>
      <c r="B2342" s="579" t="s">
        <v>159</v>
      </c>
      <c r="C2342" s="579"/>
      <c r="D2342" s="579"/>
      <c r="E2342" s="579"/>
      <c r="F2342" s="579"/>
      <c r="G2342" s="579"/>
      <c r="H2342" s="579"/>
    </row>
    <row r="2343" spans="1:8" ht="31.5">
      <c r="A2343" s="376" t="s">
        <v>160</v>
      </c>
      <c r="B2343" s="381" t="s">
        <v>161</v>
      </c>
      <c r="C2343" s="378" t="s">
        <v>26</v>
      </c>
      <c r="D2343" s="378" t="s">
        <v>26</v>
      </c>
      <c r="E2343" s="378" t="s">
        <v>26</v>
      </c>
      <c r="F2343" s="378" t="s">
        <v>26</v>
      </c>
      <c r="G2343" s="378" t="s">
        <v>26</v>
      </c>
      <c r="H2343" s="379" t="s">
        <v>130</v>
      </c>
    </row>
    <row r="2344" spans="1:8" ht="47.25">
      <c r="A2344" s="376" t="s">
        <v>162</v>
      </c>
      <c r="B2344" s="381" t="s">
        <v>163</v>
      </c>
      <c r="C2344" s="378" t="s">
        <v>26</v>
      </c>
      <c r="D2344" s="378" t="s">
        <v>26</v>
      </c>
      <c r="E2344" s="378" t="s">
        <v>26</v>
      </c>
      <c r="F2344" s="378" t="s">
        <v>26</v>
      </c>
      <c r="G2344" s="378" t="s">
        <v>26</v>
      </c>
      <c r="H2344" s="379" t="s">
        <v>130</v>
      </c>
    </row>
    <row r="2345" spans="1:8" ht="31.5">
      <c r="A2345" s="376" t="s">
        <v>164</v>
      </c>
      <c r="B2345" s="382" t="s">
        <v>165</v>
      </c>
      <c r="C2345" s="378" t="s">
        <v>26</v>
      </c>
      <c r="D2345" s="378" t="s">
        <v>26</v>
      </c>
      <c r="E2345" s="378" t="s">
        <v>26</v>
      </c>
      <c r="F2345" s="378" t="s">
        <v>26</v>
      </c>
      <c r="G2345" s="378" t="s">
        <v>26</v>
      </c>
      <c r="H2345" s="379" t="s">
        <v>130</v>
      </c>
    </row>
    <row r="2346" spans="1:8" ht="31.5">
      <c r="A2346" s="384" t="s">
        <v>166</v>
      </c>
      <c r="B2346" s="385" t="s">
        <v>167</v>
      </c>
      <c r="C2346" s="386" t="s">
        <v>26</v>
      </c>
      <c r="D2346" s="386" t="s">
        <v>26</v>
      </c>
      <c r="E2346" s="386" t="s">
        <v>26</v>
      </c>
      <c r="F2346" s="386" t="s">
        <v>26</v>
      </c>
      <c r="G2346" s="386" t="s">
        <v>26</v>
      </c>
      <c r="H2346" s="387" t="s">
        <v>130</v>
      </c>
    </row>
    <row r="2347" spans="1:8" ht="15.75">
      <c r="A2347" s="388"/>
      <c r="B2347" s="389"/>
      <c r="C2347" s="390"/>
      <c r="D2347" s="390"/>
      <c r="E2347" s="390"/>
      <c r="F2347" s="390"/>
      <c r="G2347" s="390"/>
      <c r="H2347" s="98"/>
    </row>
    <row r="2348" spans="1:8" ht="18.75" customHeight="1">
      <c r="A2348" s="580" t="s">
        <v>168</v>
      </c>
      <c r="B2348" s="580"/>
      <c r="C2348" s="580"/>
      <c r="D2348" s="580"/>
      <c r="E2348" s="580"/>
      <c r="F2348" s="580"/>
      <c r="G2348" s="580"/>
      <c r="H2348" s="580"/>
    </row>
    <row r="2351" ht="15.75">
      <c r="H2351" s="6" t="s">
        <v>113</v>
      </c>
    </row>
    <row r="2352" ht="15.75">
      <c r="H2352" s="6" t="s">
        <v>114</v>
      </c>
    </row>
    <row r="2353" ht="15.75">
      <c r="H2353" s="6" t="s">
        <v>115</v>
      </c>
    </row>
    <row r="2354" ht="15.75">
      <c r="H2354" s="6"/>
    </row>
    <row r="2355" spans="1:8" ht="18.75" customHeight="1">
      <c r="A2355" s="622" t="s">
        <v>116</v>
      </c>
      <c r="B2355" s="622"/>
      <c r="C2355" s="622"/>
      <c r="D2355" s="622"/>
      <c r="E2355" s="622"/>
      <c r="F2355" s="622"/>
      <c r="G2355" s="622"/>
      <c r="H2355" s="622"/>
    </row>
    <row r="2356" spans="1:8" ht="18.75" customHeight="1">
      <c r="A2356" s="622" t="s">
        <v>117</v>
      </c>
      <c r="B2356" s="622"/>
      <c r="C2356" s="622"/>
      <c r="D2356" s="622"/>
      <c r="E2356" s="622"/>
      <c r="F2356" s="622"/>
      <c r="G2356" s="622"/>
      <c r="H2356" s="622"/>
    </row>
    <row r="2357" ht="15.75">
      <c r="H2357" s="6" t="s">
        <v>562</v>
      </c>
    </row>
    <row r="2358" ht="15.75">
      <c r="H2358" s="6" t="s">
        <v>769</v>
      </c>
    </row>
    <row r="2359" ht="15.75">
      <c r="H2359" s="6" t="s">
        <v>770</v>
      </c>
    </row>
    <row r="2360" ht="15.75">
      <c r="H2360" s="361" t="str">
        <f>H11</f>
        <v>                         Добровольский К.А.</v>
      </c>
    </row>
    <row r="2361" ht="15.75">
      <c r="H2361" s="6" t="s">
        <v>772</v>
      </c>
    </row>
    <row r="2362" ht="15.75">
      <c r="H2362" s="6" t="s">
        <v>567</v>
      </c>
    </row>
    <row r="2363" ht="15.75">
      <c r="A2363" s="362"/>
    </row>
    <row r="2364" ht="15.75">
      <c r="A2364" s="3" t="s">
        <v>296</v>
      </c>
    </row>
    <row r="2365" spans="1:8" ht="18.75" customHeight="1">
      <c r="A2365" s="623" t="s">
        <v>120</v>
      </c>
      <c r="B2365" s="623"/>
      <c r="C2365" s="623"/>
      <c r="D2365" s="623"/>
      <c r="E2365" s="623"/>
      <c r="F2365" s="623"/>
      <c r="G2365" s="623"/>
      <c r="H2365" s="623"/>
    </row>
    <row r="2366" spans="1:8" ht="15.75">
      <c r="A2366" s="364"/>
      <c r="B2366" s="364"/>
      <c r="C2366" s="366"/>
      <c r="D2366" s="366"/>
      <c r="E2366" s="366"/>
      <c r="F2366" s="366"/>
      <c r="G2366" s="366"/>
      <c r="H2366" s="366"/>
    </row>
    <row r="2367" spans="1:8" ht="16.5" customHeight="1">
      <c r="A2367" s="581" t="s">
        <v>121</v>
      </c>
      <c r="B2367" s="559" t="s">
        <v>122</v>
      </c>
      <c r="C2367" s="560" t="s">
        <v>123</v>
      </c>
      <c r="D2367" s="560"/>
      <c r="E2367" s="560"/>
      <c r="F2367" s="560"/>
      <c r="G2367" s="561" t="s">
        <v>124</v>
      </c>
      <c r="H2367" s="581" t="s">
        <v>125</v>
      </c>
    </row>
    <row r="2368" spans="1:8" ht="15.75">
      <c r="A2368" s="581"/>
      <c r="B2368" s="559"/>
      <c r="C2368" s="560"/>
      <c r="D2368" s="560"/>
      <c r="E2368" s="560"/>
      <c r="F2368" s="560"/>
      <c r="G2368" s="561"/>
      <c r="H2368" s="581"/>
    </row>
    <row r="2369" spans="1:8" ht="31.5">
      <c r="A2369" s="581"/>
      <c r="B2369" s="559"/>
      <c r="C2369" s="369" t="s">
        <v>126</v>
      </c>
      <c r="D2369" s="369" t="s">
        <v>127</v>
      </c>
      <c r="E2369" s="370" t="s">
        <v>126</v>
      </c>
      <c r="F2369" s="371" t="s">
        <v>127</v>
      </c>
      <c r="G2369" s="561"/>
      <c r="H2369" s="581"/>
    </row>
    <row r="2370" spans="1:8" ht="15.75">
      <c r="A2370" s="367">
        <v>1</v>
      </c>
      <c r="B2370" s="367">
        <v>2</v>
      </c>
      <c r="C2370" s="372">
        <v>3</v>
      </c>
      <c r="D2370" s="372">
        <v>4</v>
      </c>
      <c r="E2370" s="373"/>
      <c r="F2370" s="374"/>
      <c r="G2370" s="368">
        <v>5</v>
      </c>
      <c r="H2370" s="367">
        <v>6</v>
      </c>
    </row>
    <row r="2371" spans="1:8" ht="18.75" customHeight="1">
      <c r="A2371" s="375">
        <v>1</v>
      </c>
      <c r="B2371" s="582" t="s">
        <v>128</v>
      </c>
      <c r="C2371" s="582"/>
      <c r="D2371" s="582"/>
      <c r="E2371" s="582"/>
      <c r="F2371" s="582"/>
      <c r="G2371" s="582"/>
      <c r="H2371" s="582"/>
    </row>
    <row r="2372" spans="1:8" ht="15.75">
      <c r="A2372" s="376" t="s">
        <v>594</v>
      </c>
      <c r="B2372" s="377" t="s">
        <v>129</v>
      </c>
      <c r="C2372" s="378" t="s">
        <v>26</v>
      </c>
      <c r="D2372" s="378" t="s">
        <v>26</v>
      </c>
      <c r="E2372" s="378" t="s">
        <v>26</v>
      </c>
      <c r="F2372" s="378" t="s">
        <v>26</v>
      </c>
      <c r="G2372" s="378" t="s">
        <v>26</v>
      </c>
      <c r="H2372" s="379" t="s">
        <v>130</v>
      </c>
    </row>
    <row r="2373" spans="1:8" ht="15.75">
      <c r="A2373" s="376" t="s">
        <v>735</v>
      </c>
      <c r="B2373" s="377" t="s">
        <v>131</v>
      </c>
      <c r="C2373" s="378" t="s">
        <v>26</v>
      </c>
      <c r="D2373" s="378" t="s">
        <v>26</v>
      </c>
      <c r="E2373" s="378" t="s">
        <v>26</v>
      </c>
      <c r="F2373" s="378" t="s">
        <v>26</v>
      </c>
      <c r="G2373" s="378" t="s">
        <v>26</v>
      </c>
      <c r="H2373" s="379" t="s">
        <v>130</v>
      </c>
    </row>
    <row r="2374" spans="1:8" ht="31.5">
      <c r="A2374" s="376" t="s">
        <v>737</v>
      </c>
      <c r="B2374" s="381" t="s">
        <v>132</v>
      </c>
      <c r="C2374" s="566" t="s">
        <v>101</v>
      </c>
      <c r="D2374" s="566" t="s">
        <v>102</v>
      </c>
      <c r="E2374" s="378" t="s">
        <v>26</v>
      </c>
      <c r="F2374" s="378" t="s">
        <v>26</v>
      </c>
      <c r="G2374" s="378" t="s">
        <v>26</v>
      </c>
      <c r="H2374" s="379" t="s">
        <v>130</v>
      </c>
    </row>
    <row r="2375" spans="1:8" ht="47.25">
      <c r="A2375" s="376" t="s">
        <v>739</v>
      </c>
      <c r="B2375" s="381" t="s">
        <v>133</v>
      </c>
      <c r="C2375" s="566" t="s">
        <v>103</v>
      </c>
      <c r="D2375" s="566" t="s">
        <v>104</v>
      </c>
      <c r="E2375" s="378" t="s">
        <v>26</v>
      </c>
      <c r="F2375" s="378" t="s">
        <v>26</v>
      </c>
      <c r="G2375" s="378" t="s">
        <v>26</v>
      </c>
      <c r="H2375" s="379" t="s">
        <v>130</v>
      </c>
    </row>
    <row r="2376" spans="1:8" ht="15.75">
      <c r="A2376" s="376" t="s">
        <v>852</v>
      </c>
      <c r="B2376" s="382" t="s">
        <v>134</v>
      </c>
      <c r="C2376" s="566" t="s">
        <v>105</v>
      </c>
      <c r="D2376" s="566" t="s">
        <v>106</v>
      </c>
      <c r="E2376" s="378" t="s">
        <v>26</v>
      </c>
      <c r="F2376" s="378" t="s">
        <v>26</v>
      </c>
      <c r="G2376" s="378" t="s">
        <v>26</v>
      </c>
      <c r="H2376" s="379" t="s">
        <v>130</v>
      </c>
    </row>
    <row r="2377" spans="1:8" ht="15.75">
      <c r="A2377" s="376" t="s">
        <v>853</v>
      </c>
      <c r="B2377" s="382" t="s">
        <v>135</v>
      </c>
      <c r="C2377" s="566" t="s">
        <v>101</v>
      </c>
      <c r="D2377" s="566" t="s">
        <v>107</v>
      </c>
      <c r="E2377" s="378" t="s">
        <v>26</v>
      </c>
      <c r="F2377" s="378" t="s">
        <v>26</v>
      </c>
      <c r="G2377" s="378" t="s">
        <v>26</v>
      </c>
      <c r="H2377" s="379" t="s">
        <v>130</v>
      </c>
    </row>
    <row r="2378" spans="1:8" ht="18.75" customHeight="1">
      <c r="A2378" s="376">
        <v>2</v>
      </c>
      <c r="B2378" s="579" t="s">
        <v>136</v>
      </c>
      <c r="C2378" s="579"/>
      <c r="D2378" s="579"/>
      <c r="E2378" s="579"/>
      <c r="F2378" s="579"/>
      <c r="G2378" s="579"/>
      <c r="H2378" s="579"/>
    </row>
    <row r="2379" spans="1:8" ht="31.5">
      <c r="A2379" s="376" t="s">
        <v>743</v>
      </c>
      <c r="B2379" s="381" t="s">
        <v>137</v>
      </c>
      <c r="C2379" s="378" t="s">
        <v>274</v>
      </c>
      <c r="D2379" s="378" t="s">
        <v>275</v>
      </c>
      <c r="E2379" s="378" t="s">
        <v>26</v>
      </c>
      <c r="F2379" s="378" t="s">
        <v>26</v>
      </c>
      <c r="G2379" s="383">
        <v>0</v>
      </c>
      <c r="H2379" s="379"/>
    </row>
    <row r="2380" spans="1:8" ht="47.25">
      <c r="A2380" s="376" t="s">
        <v>746</v>
      </c>
      <c r="B2380" s="381" t="s">
        <v>140</v>
      </c>
      <c r="C2380" s="378" t="s">
        <v>26</v>
      </c>
      <c r="D2380" s="378" t="s">
        <v>26</v>
      </c>
      <c r="E2380" s="378" t="s">
        <v>26</v>
      </c>
      <c r="F2380" s="378" t="s">
        <v>26</v>
      </c>
      <c r="G2380" s="378" t="s">
        <v>26</v>
      </c>
      <c r="H2380" s="379" t="s">
        <v>130</v>
      </c>
    </row>
    <row r="2381" spans="1:8" ht="31.5">
      <c r="A2381" s="376" t="s">
        <v>141</v>
      </c>
      <c r="B2381" s="381" t="s">
        <v>142</v>
      </c>
      <c r="C2381" s="378" t="s">
        <v>26</v>
      </c>
      <c r="D2381" s="378" t="s">
        <v>26</v>
      </c>
      <c r="E2381" s="378" t="s">
        <v>26</v>
      </c>
      <c r="F2381" s="378" t="s">
        <v>26</v>
      </c>
      <c r="G2381" s="378" t="s">
        <v>26</v>
      </c>
      <c r="H2381" s="379" t="s">
        <v>130</v>
      </c>
    </row>
    <row r="2382" spans="1:8" ht="18.75" customHeight="1">
      <c r="A2382" s="376">
        <v>3</v>
      </c>
      <c r="B2382" s="579" t="s">
        <v>143</v>
      </c>
      <c r="C2382" s="579"/>
      <c r="D2382" s="579"/>
      <c r="E2382" s="579"/>
      <c r="F2382" s="579"/>
      <c r="G2382" s="579"/>
      <c r="H2382" s="579"/>
    </row>
    <row r="2383" spans="1:8" ht="31.5">
      <c r="A2383" s="376" t="s">
        <v>756</v>
      </c>
      <c r="B2383" s="382" t="s">
        <v>144</v>
      </c>
      <c r="C2383" s="378" t="s">
        <v>26</v>
      </c>
      <c r="D2383" s="378" t="s">
        <v>26</v>
      </c>
      <c r="E2383" s="378" t="s">
        <v>26</v>
      </c>
      <c r="F2383" s="378" t="s">
        <v>26</v>
      </c>
      <c r="G2383" s="378" t="s">
        <v>26</v>
      </c>
      <c r="H2383" s="379" t="s">
        <v>130</v>
      </c>
    </row>
    <row r="2384" spans="1:8" ht="15.75">
      <c r="A2384" s="376" t="s">
        <v>757</v>
      </c>
      <c r="B2384" s="382" t="s">
        <v>145</v>
      </c>
      <c r="C2384" s="378" t="s">
        <v>274</v>
      </c>
      <c r="D2384" s="378" t="s">
        <v>276</v>
      </c>
      <c r="E2384" s="378" t="s">
        <v>26</v>
      </c>
      <c r="F2384" s="378" t="s">
        <v>26</v>
      </c>
      <c r="G2384" s="383">
        <v>0</v>
      </c>
      <c r="H2384" s="379"/>
    </row>
    <row r="2385" spans="1:8" ht="15.75">
      <c r="A2385" s="376" t="s">
        <v>147</v>
      </c>
      <c r="B2385" s="382" t="s">
        <v>148</v>
      </c>
      <c r="C2385" s="378" t="s">
        <v>277</v>
      </c>
      <c r="D2385" s="378" t="s">
        <v>278</v>
      </c>
      <c r="E2385" s="378" t="s">
        <v>26</v>
      </c>
      <c r="F2385" s="378" t="s">
        <v>26</v>
      </c>
      <c r="G2385" s="383">
        <v>0</v>
      </c>
      <c r="H2385" s="379"/>
    </row>
    <row r="2386" spans="1:8" ht="15.75">
      <c r="A2386" s="376" t="s">
        <v>151</v>
      </c>
      <c r="B2386" s="382" t="s">
        <v>152</v>
      </c>
      <c r="C2386" s="378" t="s">
        <v>279</v>
      </c>
      <c r="D2386" s="378" t="s">
        <v>280</v>
      </c>
      <c r="E2386" s="378" t="s">
        <v>26</v>
      </c>
      <c r="F2386" s="378" t="s">
        <v>26</v>
      </c>
      <c r="G2386" s="383">
        <v>0</v>
      </c>
      <c r="H2386" s="379"/>
    </row>
    <row r="2387" spans="1:8" ht="15.75">
      <c r="A2387" s="376" t="s">
        <v>155</v>
      </c>
      <c r="B2387" s="382" t="s">
        <v>156</v>
      </c>
      <c r="C2387" s="378" t="s">
        <v>281</v>
      </c>
      <c r="D2387" s="378" t="s">
        <v>275</v>
      </c>
      <c r="E2387" s="378" t="s">
        <v>26</v>
      </c>
      <c r="F2387" s="378" t="s">
        <v>26</v>
      </c>
      <c r="G2387" s="383">
        <v>0</v>
      </c>
      <c r="H2387" s="379"/>
    </row>
    <row r="2388" spans="1:8" ht="18.75" customHeight="1">
      <c r="A2388" s="376">
        <v>4</v>
      </c>
      <c r="B2388" s="579" t="s">
        <v>159</v>
      </c>
      <c r="C2388" s="579"/>
      <c r="D2388" s="579"/>
      <c r="E2388" s="579"/>
      <c r="F2388" s="579"/>
      <c r="G2388" s="579"/>
      <c r="H2388" s="579"/>
    </row>
    <row r="2389" spans="1:8" ht="31.5">
      <c r="A2389" s="376" t="s">
        <v>160</v>
      </c>
      <c r="B2389" s="381" t="s">
        <v>161</v>
      </c>
      <c r="C2389" s="378" t="s">
        <v>26</v>
      </c>
      <c r="D2389" s="378" t="s">
        <v>26</v>
      </c>
      <c r="E2389" s="378" t="s">
        <v>26</v>
      </c>
      <c r="F2389" s="378" t="s">
        <v>26</v>
      </c>
      <c r="G2389" s="378" t="s">
        <v>26</v>
      </c>
      <c r="H2389" s="379" t="s">
        <v>130</v>
      </c>
    </row>
    <row r="2390" spans="1:8" ht="47.25">
      <c r="A2390" s="376" t="s">
        <v>162</v>
      </c>
      <c r="B2390" s="381" t="s">
        <v>163</v>
      </c>
      <c r="C2390" s="378" t="s">
        <v>26</v>
      </c>
      <c r="D2390" s="378" t="s">
        <v>26</v>
      </c>
      <c r="E2390" s="378" t="s">
        <v>26</v>
      </c>
      <c r="F2390" s="378" t="s">
        <v>26</v>
      </c>
      <c r="G2390" s="378" t="s">
        <v>26</v>
      </c>
      <c r="H2390" s="379" t="s">
        <v>130</v>
      </c>
    </row>
    <row r="2391" spans="1:8" ht="31.5">
      <c r="A2391" s="376" t="s">
        <v>164</v>
      </c>
      <c r="B2391" s="382" t="s">
        <v>165</v>
      </c>
      <c r="C2391" s="378" t="s">
        <v>26</v>
      </c>
      <c r="D2391" s="378" t="s">
        <v>26</v>
      </c>
      <c r="E2391" s="378" t="s">
        <v>26</v>
      </c>
      <c r="F2391" s="378" t="s">
        <v>26</v>
      </c>
      <c r="G2391" s="378" t="s">
        <v>26</v>
      </c>
      <c r="H2391" s="379" t="s">
        <v>130</v>
      </c>
    </row>
    <row r="2392" spans="1:8" ht="31.5">
      <c r="A2392" s="384" t="s">
        <v>166</v>
      </c>
      <c r="B2392" s="385" t="s">
        <v>167</v>
      </c>
      <c r="C2392" s="386" t="s">
        <v>26</v>
      </c>
      <c r="D2392" s="386" t="s">
        <v>26</v>
      </c>
      <c r="E2392" s="386" t="s">
        <v>26</v>
      </c>
      <c r="F2392" s="386" t="s">
        <v>26</v>
      </c>
      <c r="G2392" s="386" t="s">
        <v>26</v>
      </c>
      <c r="H2392" s="387" t="s">
        <v>130</v>
      </c>
    </row>
    <row r="2393" spans="1:8" ht="15.75">
      <c r="A2393" s="388"/>
      <c r="B2393" s="389"/>
      <c r="C2393" s="390"/>
      <c r="D2393" s="390"/>
      <c r="E2393" s="390"/>
      <c r="F2393" s="390"/>
      <c r="G2393" s="390"/>
      <c r="H2393" s="98"/>
    </row>
    <row r="2394" spans="1:8" ht="18.75" customHeight="1">
      <c r="A2394" s="580" t="s">
        <v>168</v>
      </c>
      <c r="B2394" s="580"/>
      <c r="C2394" s="580"/>
      <c r="D2394" s="580"/>
      <c r="E2394" s="580"/>
      <c r="F2394" s="580"/>
      <c r="G2394" s="580"/>
      <c r="H2394" s="580"/>
    </row>
    <row r="2397" ht="15.75">
      <c r="H2397" s="6" t="s">
        <v>113</v>
      </c>
    </row>
    <row r="2398" ht="15.75">
      <c r="H2398" s="6" t="s">
        <v>114</v>
      </c>
    </row>
    <row r="2399" ht="15.75">
      <c r="H2399" s="6" t="s">
        <v>115</v>
      </c>
    </row>
    <row r="2400" ht="15.75">
      <c r="H2400" s="6"/>
    </row>
    <row r="2401" spans="1:8" ht="18.75" customHeight="1">
      <c r="A2401" s="622" t="s">
        <v>116</v>
      </c>
      <c r="B2401" s="622"/>
      <c r="C2401" s="622"/>
      <c r="D2401" s="622"/>
      <c r="E2401" s="622"/>
      <c r="F2401" s="622"/>
      <c r="G2401" s="622"/>
      <c r="H2401" s="622"/>
    </row>
    <row r="2402" spans="1:8" ht="18.75" customHeight="1">
      <c r="A2402" s="622" t="s">
        <v>117</v>
      </c>
      <c r="B2402" s="622"/>
      <c r="C2402" s="622"/>
      <c r="D2402" s="622"/>
      <c r="E2402" s="622"/>
      <c r="F2402" s="622"/>
      <c r="G2402" s="622"/>
      <c r="H2402" s="622"/>
    </row>
    <row r="2403" ht="15.75">
      <c r="H2403" s="6" t="s">
        <v>562</v>
      </c>
    </row>
    <row r="2404" ht="15.75">
      <c r="H2404" s="6" t="s">
        <v>769</v>
      </c>
    </row>
    <row r="2405" ht="15.75">
      <c r="H2405" s="6" t="s">
        <v>770</v>
      </c>
    </row>
    <row r="2406" ht="15.75">
      <c r="H2406" s="361" t="str">
        <f>H11</f>
        <v>                         Добровольский К.А.</v>
      </c>
    </row>
    <row r="2407" ht="15.75">
      <c r="H2407" s="6" t="s">
        <v>772</v>
      </c>
    </row>
    <row r="2408" ht="15.75">
      <c r="H2408" s="6" t="s">
        <v>567</v>
      </c>
    </row>
    <row r="2409" ht="15.75">
      <c r="A2409" s="362"/>
    </row>
    <row r="2410" ht="15.75">
      <c r="A2410" s="3" t="s">
        <v>297</v>
      </c>
    </row>
    <row r="2411" spans="1:8" ht="18.75" customHeight="1">
      <c r="A2411" s="623" t="s">
        <v>120</v>
      </c>
      <c r="B2411" s="623"/>
      <c r="C2411" s="623"/>
      <c r="D2411" s="623"/>
      <c r="E2411" s="623"/>
      <c r="F2411" s="623"/>
      <c r="G2411" s="623"/>
      <c r="H2411" s="623"/>
    </row>
    <row r="2412" spans="1:8" ht="15.75">
      <c r="A2412" s="364"/>
      <c r="B2412" s="364"/>
      <c r="C2412" s="366"/>
      <c r="D2412" s="366"/>
      <c r="E2412" s="366"/>
      <c r="F2412" s="366"/>
      <c r="G2412" s="366"/>
      <c r="H2412" s="366"/>
    </row>
    <row r="2413" spans="1:8" ht="16.5" customHeight="1">
      <c r="A2413" s="581" t="s">
        <v>121</v>
      </c>
      <c r="B2413" s="559" t="s">
        <v>122</v>
      </c>
      <c r="C2413" s="560" t="s">
        <v>123</v>
      </c>
      <c r="D2413" s="560"/>
      <c r="E2413" s="560"/>
      <c r="F2413" s="560"/>
      <c r="G2413" s="561" t="s">
        <v>124</v>
      </c>
      <c r="H2413" s="581" t="s">
        <v>125</v>
      </c>
    </row>
    <row r="2414" spans="1:8" ht="15.75">
      <c r="A2414" s="581"/>
      <c r="B2414" s="559"/>
      <c r="C2414" s="560"/>
      <c r="D2414" s="560"/>
      <c r="E2414" s="560"/>
      <c r="F2414" s="560"/>
      <c r="G2414" s="561"/>
      <c r="H2414" s="581"/>
    </row>
    <row r="2415" spans="1:8" ht="31.5">
      <c r="A2415" s="581"/>
      <c r="B2415" s="559"/>
      <c r="C2415" s="369" t="s">
        <v>126</v>
      </c>
      <c r="D2415" s="369" t="s">
        <v>127</v>
      </c>
      <c r="E2415" s="370" t="s">
        <v>126</v>
      </c>
      <c r="F2415" s="371" t="s">
        <v>127</v>
      </c>
      <c r="G2415" s="561"/>
      <c r="H2415" s="581"/>
    </row>
    <row r="2416" spans="1:8" ht="15.75">
      <c r="A2416" s="367">
        <v>1</v>
      </c>
      <c r="B2416" s="367">
        <v>2</v>
      </c>
      <c r="C2416" s="372">
        <v>3</v>
      </c>
      <c r="D2416" s="372">
        <v>4</v>
      </c>
      <c r="E2416" s="373"/>
      <c r="F2416" s="374"/>
      <c r="G2416" s="368">
        <v>5</v>
      </c>
      <c r="H2416" s="367">
        <v>6</v>
      </c>
    </row>
    <row r="2417" spans="1:8" ht="18.75" customHeight="1">
      <c r="A2417" s="375">
        <v>1</v>
      </c>
      <c r="B2417" s="582" t="s">
        <v>128</v>
      </c>
      <c r="C2417" s="582"/>
      <c r="D2417" s="582"/>
      <c r="E2417" s="582"/>
      <c r="F2417" s="582"/>
      <c r="G2417" s="582"/>
      <c r="H2417" s="582"/>
    </row>
    <row r="2418" spans="1:8" ht="15.75">
      <c r="A2418" s="376" t="s">
        <v>594</v>
      </c>
      <c r="B2418" s="377" t="s">
        <v>129</v>
      </c>
      <c r="C2418" s="378" t="s">
        <v>26</v>
      </c>
      <c r="D2418" s="378" t="s">
        <v>26</v>
      </c>
      <c r="E2418" s="378" t="s">
        <v>26</v>
      </c>
      <c r="F2418" s="378" t="s">
        <v>26</v>
      </c>
      <c r="G2418" s="378" t="s">
        <v>26</v>
      </c>
      <c r="H2418" s="379" t="s">
        <v>130</v>
      </c>
    </row>
    <row r="2419" spans="1:8" ht="15.75">
      <c r="A2419" s="376" t="s">
        <v>735</v>
      </c>
      <c r="B2419" s="377" t="s">
        <v>131</v>
      </c>
      <c r="C2419" s="378" t="s">
        <v>26</v>
      </c>
      <c r="D2419" s="378" t="s">
        <v>26</v>
      </c>
      <c r="E2419" s="378" t="s">
        <v>26</v>
      </c>
      <c r="F2419" s="378" t="s">
        <v>26</v>
      </c>
      <c r="G2419" s="378" t="s">
        <v>26</v>
      </c>
      <c r="H2419" s="379" t="s">
        <v>130</v>
      </c>
    </row>
    <row r="2420" spans="1:8" ht="31.5">
      <c r="A2420" s="376" t="s">
        <v>737</v>
      </c>
      <c r="B2420" s="381" t="s">
        <v>132</v>
      </c>
      <c r="C2420" s="566" t="s">
        <v>101</v>
      </c>
      <c r="D2420" s="566" t="s">
        <v>102</v>
      </c>
      <c r="E2420" s="378" t="s">
        <v>26</v>
      </c>
      <c r="F2420" s="378" t="s">
        <v>26</v>
      </c>
      <c r="G2420" s="378" t="s">
        <v>26</v>
      </c>
      <c r="H2420" s="379" t="s">
        <v>130</v>
      </c>
    </row>
    <row r="2421" spans="1:8" ht="47.25">
      <c r="A2421" s="376" t="s">
        <v>739</v>
      </c>
      <c r="B2421" s="381" t="s">
        <v>133</v>
      </c>
      <c r="C2421" s="566" t="s">
        <v>103</v>
      </c>
      <c r="D2421" s="566" t="s">
        <v>104</v>
      </c>
      <c r="E2421" s="378" t="s">
        <v>26</v>
      </c>
      <c r="F2421" s="378" t="s">
        <v>26</v>
      </c>
      <c r="G2421" s="378" t="s">
        <v>26</v>
      </c>
      <c r="H2421" s="379" t="s">
        <v>130</v>
      </c>
    </row>
    <row r="2422" spans="1:8" ht="15.75">
      <c r="A2422" s="376" t="s">
        <v>852</v>
      </c>
      <c r="B2422" s="382" t="s">
        <v>134</v>
      </c>
      <c r="C2422" s="566" t="s">
        <v>105</v>
      </c>
      <c r="D2422" s="566" t="s">
        <v>106</v>
      </c>
      <c r="E2422" s="378" t="s">
        <v>26</v>
      </c>
      <c r="F2422" s="378" t="s">
        <v>26</v>
      </c>
      <c r="G2422" s="378" t="s">
        <v>26</v>
      </c>
      <c r="H2422" s="379" t="s">
        <v>130</v>
      </c>
    </row>
    <row r="2423" spans="1:8" ht="15.75">
      <c r="A2423" s="376" t="s">
        <v>853</v>
      </c>
      <c r="B2423" s="382" t="s">
        <v>135</v>
      </c>
      <c r="C2423" s="566" t="s">
        <v>101</v>
      </c>
      <c r="D2423" s="566" t="s">
        <v>107</v>
      </c>
      <c r="E2423" s="378" t="s">
        <v>26</v>
      </c>
      <c r="F2423" s="378" t="s">
        <v>26</v>
      </c>
      <c r="G2423" s="378" t="s">
        <v>26</v>
      </c>
      <c r="H2423" s="379" t="s">
        <v>130</v>
      </c>
    </row>
    <row r="2424" spans="1:8" ht="18.75" customHeight="1">
      <c r="A2424" s="376">
        <v>2</v>
      </c>
      <c r="B2424" s="579" t="s">
        <v>136</v>
      </c>
      <c r="C2424" s="579"/>
      <c r="D2424" s="579"/>
      <c r="E2424" s="579"/>
      <c r="F2424" s="579"/>
      <c r="G2424" s="579"/>
      <c r="H2424" s="579"/>
    </row>
    <row r="2425" spans="1:8" ht="31.5">
      <c r="A2425" s="376" t="s">
        <v>743</v>
      </c>
      <c r="B2425" s="381" t="s">
        <v>137</v>
      </c>
      <c r="C2425" s="378" t="s">
        <v>274</v>
      </c>
      <c r="D2425" s="378" t="s">
        <v>275</v>
      </c>
      <c r="E2425" s="378" t="s">
        <v>26</v>
      </c>
      <c r="F2425" s="378" t="s">
        <v>26</v>
      </c>
      <c r="G2425" s="383">
        <v>0</v>
      </c>
      <c r="H2425" s="379"/>
    </row>
    <row r="2426" spans="1:8" ht="47.25">
      <c r="A2426" s="376" t="s">
        <v>746</v>
      </c>
      <c r="B2426" s="381" t="s">
        <v>140</v>
      </c>
      <c r="C2426" s="378" t="s">
        <v>26</v>
      </c>
      <c r="D2426" s="378" t="s">
        <v>26</v>
      </c>
      <c r="E2426" s="378" t="s">
        <v>26</v>
      </c>
      <c r="F2426" s="378" t="s">
        <v>26</v>
      </c>
      <c r="G2426" s="378" t="s">
        <v>26</v>
      </c>
      <c r="H2426" s="379" t="s">
        <v>130</v>
      </c>
    </row>
    <row r="2427" spans="1:8" ht="31.5">
      <c r="A2427" s="376" t="s">
        <v>141</v>
      </c>
      <c r="B2427" s="381" t="s">
        <v>142</v>
      </c>
      <c r="C2427" s="378" t="s">
        <v>26</v>
      </c>
      <c r="D2427" s="378" t="s">
        <v>26</v>
      </c>
      <c r="E2427" s="378" t="s">
        <v>26</v>
      </c>
      <c r="F2427" s="378" t="s">
        <v>26</v>
      </c>
      <c r="G2427" s="378" t="s">
        <v>26</v>
      </c>
      <c r="H2427" s="379" t="s">
        <v>130</v>
      </c>
    </row>
    <row r="2428" spans="1:8" ht="18.75" customHeight="1">
      <c r="A2428" s="376">
        <v>3</v>
      </c>
      <c r="B2428" s="579" t="s">
        <v>143</v>
      </c>
      <c r="C2428" s="579"/>
      <c r="D2428" s="579"/>
      <c r="E2428" s="579"/>
      <c r="F2428" s="579"/>
      <c r="G2428" s="579"/>
      <c r="H2428" s="579"/>
    </row>
    <row r="2429" spans="1:8" ht="31.5">
      <c r="A2429" s="376" t="s">
        <v>756</v>
      </c>
      <c r="B2429" s="382" t="s">
        <v>144</v>
      </c>
      <c r="C2429" s="378" t="s">
        <v>26</v>
      </c>
      <c r="D2429" s="378" t="s">
        <v>26</v>
      </c>
      <c r="E2429" s="378" t="s">
        <v>26</v>
      </c>
      <c r="F2429" s="378" t="s">
        <v>26</v>
      </c>
      <c r="G2429" s="378" t="s">
        <v>26</v>
      </c>
      <c r="H2429" s="379" t="s">
        <v>130</v>
      </c>
    </row>
    <row r="2430" spans="1:8" ht="15.75">
      <c r="A2430" s="376" t="s">
        <v>757</v>
      </c>
      <c r="B2430" s="382" t="s">
        <v>145</v>
      </c>
      <c r="C2430" s="378" t="s">
        <v>274</v>
      </c>
      <c r="D2430" s="378" t="s">
        <v>276</v>
      </c>
      <c r="E2430" s="378" t="s">
        <v>26</v>
      </c>
      <c r="F2430" s="378" t="s">
        <v>26</v>
      </c>
      <c r="G2430" s="383">
        <v>0</v>
      </c>
      <c r="H2430" s="379"/>
    </row>
    <row r="2431" spans="1:8" ht="15.75">
      <c r="A2431" s="376" t="s">
        <v>147</v>
      </c>
      <c r="B2431" s="382" t="s">
        <v>148</v>
      </c>
      <c r="C2431" s="378" t="s">
        <v>277</v>
      </c>
      <c r="D2431" s="378" t="s">
        <v>278</v>
      </c>
      <c r="E2431" s="378" t="s">
        <v>26</v>
      </c>
      <c r="F2431" s="378" t="s">
        <v>26</v>
      </c>
      <c r="G2431" s="383">
        <v>0</v>
      </c>
      <c r="H2431" s="379"/>
    </row>
    <row r="2432" spans="1:8" ht="15.75">
      <c r="A2432" s="376" t="s">
        <v>151</v>
      </c>
      <c r="B2432" s="382" t="s">
        <v>152</v>
      </c>
      <c r="C2432" s="378" t="s">
        <v>279</v>
      </c>
      <c r="D2432" s="378" t="s">
        <v>280</v>
      </c>
      <c r="E2432" s="378" t="s">
        <v>26</v>
      </c>
      <c r="F2432" s="378" t="s">
        <v>26</v>
      </c>
      <c r="G2432" s="383">
        <v>0</v>
      </c>
      <c r="H2432" s="379"/>
    </row>
    <row r="2433" spans="1:8" ht="15.75">
      <c r="A2433" s="376" t="s">
        <v>155</v>
      </c>
      <c r="B2433" s="382" t="s">
        <v>156</v>
      </c>
      <c r="C2433" s="378" t="s">
        <v>281</v>
      </c>
      <c r="D2433" s="378" t="s">
        <v>275</v>
      </c>
      <c r="E2433" s="378" t="s">
        <v>26</v>
      </c>
      <c r="F2433" s="378" t="s">
        <v>26</v>
      </c>
      <c r="G2433" s="383">
        <v>0</v>
      </c>
      <c r="H2433" s="379"/>
    </row>
    <row r="2434" spans="1:8" ht="18.75" customHeight="1">
      <c r="A2434" s="376">
        <v>4</v>
      </c>
      <c r="B2434" s="579" t="s">
        <v>159</v>
      </c>
      <c r="C2434" s="579"/>
      <c r="D2434" s="579"/>
      <c r="E2434" s="579"/>
      <c r="F2434" s="579"/>
      <c r="G2434" s="579"/>
      <c r="H2434" s="579"/>
    </row>
    <row r="2435" spans="1:8" ht="31.5">
      <c r="A2435" s="376" t="s">
        <v>160</v>
      </c>
      <c r="B2435" s="381" t="s">
        <v>161</v>
      </c>
      <c r="C2435" s="378" t="s">
        <v>26</v>
      </c>
      <c r="D2435" s="378" t="s">
        <v>26</v>
      </c>
      <c r="E2435" s="378" t="s">
        <v>26</v>
      </c>
      <c r="F2435" s="378" t="s">
        <v>26</v>
      </c>
      <c r="G2435" s="378" t="s">
        <v>26</v>
      </c>
      <c r="H2435" s="379" t="s">
        <v>130</v>
      </c>
    </row>
    <row r="2436" spans="1:8" ht="47.25">
      <c r="A2436" s="376" t="s">
        <v>162</v>
      </c>
      <c r="B2436" s="381" t="s">
        <v>163</v>
      </c>
      <c r="C2436" s="378" t="s">
        <v>26</v>
      </c>
      <c r="D2436" s="378" t="s">
        <v>26</v>
      </c>
      <c r="E2436" s="378" t="s">
        <v>26</v>
      </c>
      <c r="F2436" s="378" t="s">
        <v>26</v>
      </c>
      <c r="G2436" s="378" t="s">
        <v>26</v>
      </c>
      <c r="H2436" s="379" t="s">
        <v>130</v>
      </c>
    </row>
    <row r="2437" spans="1:8" ht="31.5">
      <c r="A2437" s="376" t="s">
        <v>164</v>
      </c>
      <c r="B2437" s="382" t="s">
        <v>165</v>
      </c>
      <c r="C2437" s="378" t="s">
        <v>26</v>
      </c>
      <c r="D2437" s="378" t="s">
        <v>26</v>
      </c>
      <c r="E2437" s="378" t="s">
        <v>26</v>
      </c>
      <c r="F2437" s="378" t="s">
        <v>26</v>
      </c>
      <c r="G2437" s="378" t="s">
        <v>26</v>
      </c>
      <c r="H2437" s="379" t="s">
        <v>130</v>
      </c>
    </row>
    <row r="2438" spans="1:8" ht="31.5">
      <c r="A2438" s="384" t="s">
        <v>166</v>
      </c>
      <c r="B2438" s="385" t="s">
        <v>167</v>
      </c>
      <c r="C2438" s="386" t="s">
        <v>26</v>
      </c>
      <c r="D2438" s="386" t="s">
        <v>26</v>
      </c>
      <c r="E2438" s="386" t="s">
        <v>26</v>
      </c>
      <c r="F2438" s="386" t="s">
        <v>26</v>
      </c>
      <c r="G2438" s="386" t="s">
        <v>26</v>
      </c>
      <c r="H2438" s="387" t="s">
        <v>130</v>
      </c>
    </row>
    <row r="2439" spans="1:8" ht="15.75">
      <c r="A2439" s="388"/>
      <c r="B2439" s="389"/>
      <c r="C2439" s="390"/>
      <c r="D2439" s="390"/>
      <c r="E2439" s="390"/>
      <c r="F2439" s="390"/>
      <c r="G2439" s="390"/>
      <c r="H2439" s="98"/>
    </row>
    <row r="2440" spans="1:8" ht="18.75" customHeight="1">
      <c r="A2440" s="580" t="s">
        <v>168</v>
      </c>
      <c r="B2440" s="580"/>
      <c r="C2440" s="580"/>
      <c r="D2440" s="580"/>
      <c r="E2440" s="580"/>
      <c r="F2440" s="580"/>
      <c r="G2440" s="580"/>
      <c r="H2440" s="580"/>
    </row>
    <row r="2443" ht="15.75">
      <c r="H2443" s="6" t="s">
        <v>113</v>
      </c>
    </row>
    <row r="2444" ht="15.75">
      <c r="H2444" s="6" t="s">
        <v>114</v>
      </c>
    </row>
    <row r="2445" ht="15.75">
      <c r="H2445" s="6" t="s">
        <v>115</v>
      </c>
    </row>
    <row r="2446" ht="15.75">
      <c r="H2446" s="6"/>
    </row>
    <row r="2447" spans="1:8" ht="18.75" customHeight="1">
      <c r="A2447" s="622" t="s">
        <v>116</v>
      </c>
      <c r="B2447" s="622"/>
      <c r="C2447" s="622"/>
      <c r="D2447" s="622"/>
      <c r="E2447" s="622"/>
      <c r="F2447" s="622"/>
      <c r="G2447" s="622"/>
      <c r="H2447" s="622"/>
    </row>
    <row r="2448" spans="1:8" ht="18.75" customHeight="1">
      <c r="A2448" s="622" t="s">
        <v>117</v>
      </c>
      <c r="B2448" s="622"/>
      <c r="C2448" s="622"/>
      <c r="D2448" s="622"/>
      <c r="E2448" s="622"/>
      <c r="F2448" s="622"/>
      <c r="G2448" s="622"/>
      <c r="H2448" s="622"/>
    </row>
    <row r="2449" ht="15.75">
      <c r="H2449" s="6" t="s">
        <v>562</v>
      </c>
    </row>
    <row r="2450" ht="15.75">
      <c r="H2450" s="6" t="s">
        <v>769</v>
      </c>
    </row>
    <row r="2451" ht="15.75">
      <c r="H2451" s="6" t="s">
        <v>770</v>
      </c>
    </row>
    <row r="2452" ht="15.75">
      <c r="H2452" s="361" t="str">
        <f>H11</f>
        <v>                         Добровольский К.А.</v>
      </c>
    </row>
    <row r="2453" ht="15.75">
      <c r="H2453" s="6" t="s">
        <v>772</v>
      </c>
    </row>
    <row r="2454" ht="15.75">
      <c r="H2454" s="6" t="s">
        <v>567</v>
      </c>
    </row>
    <row r="2455" ht="15.75">
      <c r="A2455" s="362"/>
    </row>
    <row r="2456" ht="15.75">
      <c r="A2456" s="3" t="s">
        <v>298</v>
      </c>
    </row>
    <row r="2457" spans="1:8" ht="18.75" customHeight="1">
      <c r="A2457" s="623" t="s">
        <v>120</v>
      </c>
      <c r="B2457" s="623"/>
      <c r="C2457" s="623"/>
      <c r="D2457" s="623"/>
      <c r="E2457" s="623"/>
      <c r="F2457" s="623"/>
      <c r="G2457" s="623"/>
      <c r="H2457" s="623"/>
    </row>
    <row r="2458" spans="1:8" ht="15.75">
      <c r="A2458" s="364"/>
      <c r="B2458" s="364"/>
      <c r="C2458" s="366"/>
      <c r="D2458" s="366"/>
      <c r="E2458" s="366"/>
      <c r="F2458" s="366"/>
      <c r="G2458" s="366"/>
      <c r="H2458" s="366"/>
    </row>
    <row r="2459" spans="1:8" ht="16.5" customHeight="1">
      <c r="A2459" s="581" t="s">
        <v>121</v>
      </c>
      <c r="B2459" s="559" t="s">
        <v>122</v>
      </c>
      <c r="C2459" s="560" t="s">
        <v>123</v>
      </c>
      <c r="D2459" s="560"/>
      <c r="E2459" s="560"/>
      <c r="F2459" s="560"/>
      <c r="G2459" s="561" t="s">
        <v>124</v>
      </c>
      <c r="H2459" s="581" t="s">
        <v>125</v>
      </c>
    </row>
    <row r="2460" spans="1:8" ht="15.75">
      <c r="A2460" s="581"/>
      <c r="B2460" s="559"/>
      <c r="C2460" s="560"/>
      <c r="D2460" s="560"/>
      <c r="E2460" s="560"/>
      <c r="F2460" s="560"/>
      <c r="G2460" s="561"/>
      <c r="H2460" s="581"/>
    </row>
    <row r="2461" spans="1:8" ht="31.5">
      <c r="A2461" s="581"/>
      <c r="B2461" s="559"/>
      <c r="C2461" s="369" t="s">
        <v>126</v>
      </c>
      <c r="D2461" s="369" t="s">
        <v>127</v>
      </c>
      <c r="E2461" s="370" t="s">
        <v>126</v>
      </c>
      <c r="F2461" s="371" t="s">
        <v>127</v>
      </c>
      <c r="G2461" s="561"/>
      <c r="H2461" s="581"/>
    </row>
    <row r="2462" spans="1:8" ht="15.75">
      <c r="A2462" s="367">
        <v>1</v>
      </c>
      <c r="B2462" s="367">
        <v>2</v>
      </c>
      <c r="C2462" s="372">
        <v>3</v>
      </c>
      <c r="D2462" s="372">
        <v>4</v>
      </c>
      <c r="E2462" s="373"/>
      <c r="F2462" s="374"/>
      <c r="G2462" s="368">
        <v>5</v>
      </c>
      <c r="H2462" s="367">
        <v>6</v>
      </c>
    </row>
    <row r="2463" spans="1:8" ht="18.75" customHeight="1">
      <c r="A2463" s="375">
        <v>1</v>
      </c>
      <c r="B2463" s="582" t="s">
        <v>128</v>
      </c>
      <c r="C2463" s="582"/>
      <c r="D2463" s="582"/>
      <c r="E2463" s="582"/>
      <c r="F2463" s="582"/>
      <c r="G2463" s="582"/>
      <c r="H2463" s="582"/>
    </row>
    <row r="2464" spans="1:8" ht="15.75">
      <c r="A2464" s="376" t="s">
        <v>594</v>
      </c>
      <c r="B2464" s="377" t="s">
        <v>129</v>
      </c>
      <c r="C2464" s="378" t="s">
        <v>26</v>
      </c>
      <c r="D2464" s="378" t="s">
        <v>26</v>
      </c>
      <c r="E2464" s="378" t="s">
        <v>26</v>
      </c>
      <c r="F2464" s="378" t="s">
        <v>26</v>
      </c>
      <c r="G2464" s="378" t="s">
        <v>26</v>
      </c>
      <c r="H2464" s="379" t="s">
        <v>130</v>
      </c>
    </row>
    <row r="2465" spans="1:8" ht="15.75">
      <c r="A2465" s="376" t="s">
        <v>735</v>
      </c>
      <c r="B2465" s="377" t="s">
        <v>131</v>
      </c>
      <c r="C2465" s="378" t="s">
        <v>26</v>
      </c>
      <c r="D2465" s="378" t="s">
        <v>26</v>
      </c>
      <c r="E2465" s="378" t="s">
        <v>26</v>
      </c>
      <c r="F2465" s="378" t="s">
        <v>26</v>
      </c>
      <c r="G2465" s="378" t="s">
        <v>26</v>
      </c>
      <c r="H2465" s="379" t="s">
        <v>130</v>
      </c>
    </row>
    <row r="2466" spans="1:8" ht="31.5">
      <c r="A2466" s="376" t="s">
        <v>737</v>
      </c>
      <c r="B2466" s="381" t="s">
        <v>132</v>
      </c>
      <c r="C2466" s="378" t="s">
        <v>26</v>
      </c>
      <c r="D2466" s="378" t="s">
        <v>26</v>
      </c>
      <c r="E2466" s="378" t="s">
        <v>26</v>
      </c>
      <c r="F2466" s="378" t="s">
        <v>26</v>
      </c>
      <c r="G2466" s="378" t="s">
        <v>26</v>
      </c>
      <c r="H2466" s="379" t="s">
        <v>130</v>
      </c>
    </row>
    <row r="2467" spans="1:8" ht="47.25">
      <c r="A2467" s="376" t="s">
        <v>739</v>
      </c>
      <c r="B2467" s="381" t="s">
        <v>133</v>
      </c>
      <c r="C2467" s="378" t="s">
        <v>26</v>
      </c>
      <c r="D2467" s="378" t="s">
        <v>26</v>
      </c>
      <c r="E2467" s="378" t="s">
        <v>26</v>
      </c>
      <c r="F2467" s="378" t="s">
        <v>26</v>
      </c>
      <c r="G2467" s="378" t="s">
        <v>26</v>
      </c>
      <c r="H2467" s="379" t="s">
        <v>130</v>
      </c>
    </row>
    <row r="2468" spans="1:8" ht="15.75">
      <c r="A2468" s="376" t="s">
        <v>852</v>
      </c>
      <c r="B2468" s="382" t="s">
        <v>134</v>
      </c>
      <c r="C2468" s="378" t="s">
        <v>26</v>
      </c>
      <c r="D2468" s="378" t="s">
        <v>26</v>
      </c>
      <c r="E2468" s="378" t="s">
        <v>26</v>
      </c>
      <c r="F2468" s="378" t="s">
        <v>26</v>
      </c>
      <c r="G2468" s="378" t="s">
        <v>26</v>
      </c>
      <c r="H2468" s="379" t="s">
        <v>130</v>
      </c>
    </row>
    <row r="2469" spans="1:8" ht="15.75">
      <c r="A2469" s="376" t="s">
        <v>853</v>
      </c>
      <c r="B2469" s="382" t="s">
        <v>135</v>
      </c>
      <c r="C2469" s="378" t="s">
        <v>26</v>
      </c>
      <c r="D2469" s="378" t="s">
        <v>26</v>
      </c>
      <c r="E2469" s="378" t="s">
        <v>26</v>
      </c>
      <c r="F2469" s="378" t="s">
        <v>26</v>
      </c>
      <c r="G2469" s="378" t="s">
        <v>26</v>
      </c>
      <c r="H2469" s="379" t="s">
        <v>130</v>
      </c>
    </row>
    <row r="2470" spans="1:8" ht="18.75" customHeight="1">
      <c r="A2470" s="376">
        <v>2</v>
      </c>
      <c r="B2470" s="579" t="s">
        <v>136</v>
      </c>
      <c r="C2470" s="579"/>
      <c r="D2470" s="579"/>
      <c r="E2470" s="579"/>
      <c r="F2470" s="579"/>
      <c r="G2470" s="579"/>
      <c r="H2470" s="579"/>
    </row>
    <row r="2471" spans="1:8" ht="31.5">
      <c r="A2471" s="376" t="s">
        <v>743</v>
      </c>
      <c r="B2471" s="381" t="s">
        <v>137</v>
      </c>
      <c r="C2471" s="378" t="s">
        <v>299</v>
      </c>
      <c r="D2471" s="378" t="s">
        <v>300</v>
      </c>
      <c r="E2471" s="378" t="s">
        <v>26</v>
      </c>
      <c r="F2471" s="378" t="s">
        <v>26</v>
      </c>
      <c r="G2471" s="383">
        <v>0</v>
      </c>
      <c r="H2471" s="379"/>
    </row>
    <row r="2472" spans="1:8" ht="47.25">
      <c r="A2472" s="376" t="s">
        <v>746</v>
      </c>
      <c r="B2472" s="381" t="s">
        <v>140</v>
      </c>
      <c r="C2472" s="378" t="s">
        <v>26</v>
      </c>
      <c r="D2472" s="378" t="s">
        <v>26</v>
      </c>
      <c r="E2472" s="378" t="s">
        <v>26</v>
      </c>
      <c r="F2472" s="378" t="s">
        <v>26</v>
      </c>
      <c r="G2472" s="378" t="s">
        <v>26</v>
      </c>
      <c r="H2472" s="379" t="s">
        <v>130</v>
      </c>
    </row>
    <row r="2473" spans="1:8" ht="31.5">
      <c r="A2473" s="376" t="s">
        <v>141</v>
      </c>
      <c r="B2473" s="381" t="s">
        <v>142</v>
      </c>
      <c r="C2473" s="378" t="s">
        <v>26</v>
      </c>
      <c r="D2473" s="378" t="s">
        <v>26</v>
      </c>
      <c r="E2473" s="378" t="s">
        <v>26</v>
      </c>
      <c r="F2473" s="378" t="s">
        <v>26</v>
      </c>
      <c r="G2473" s="378" t="s">
        <v>26</v>
      </c>
      <c r="H2473" s="379" t="s">
        <v>130</v>
      </c>
    </row>
    <row r="2474" spans="1:8" ht="18.75" customHeight="1">
      <c r="A2474" s="376">
        <v>3</v>
      </c>
      <c r="B2474" s="579" t="s">
        <v>143</v>
      </c>
      <c r="C2474" s="579"/>
      <c r="D2474" s="579"/>
      <c r="E2474" s="579"/>
      <c r="F2474" s="579"/>
      <c r="G2474" s="579"/>
      <c r="H2474" s="579"/>
    </row>
    <row r="2475" spans="1:8" ht="31.5">
      <c r="A2475" s="376" t="s">
        <v>756</v>
      </c>
      <c r="B2475" s="382" t="s">
        <v>144</v>
      </c>
      <c r="C2475" s="378" t="s">
        <v>26</v>
      </c>
      <c r="D2475" s="378" t="s">
        <v>26</v>
      </c>
      <c r="E2475" s="378" t="s">
        <v>26</v>
      </c>
      <c r="F2475" s="378" t="s">
        <v>26</v>
      </c>
      <c r="G2475" s="378" t="s">
        <v>26</v>
      </c>
      <c r="H2475" s="379" t="s">
        <v>130</v>
      </c>
    </row>
    <row r="2476" spans="1:8" ht="15.75">
      <c r="A2476" s="376" t="s">
        <v>757</v>
      </c>
      <c r="B2476" s="382" t="s">
        <v>145</v>
      </c>
      <c r="C2476" s="378" t="s">
        <v>301</v>
      </c>
      <c r="D2476" s="378" t="s">
        <v>302</v>
      </c>
      <c r="E2476" s="378" t="s">
        <v>26</v>
      </c>
      <c r="F2476" s="378" t="s">
        <v>26</v>
      </c>
      <c r="G2476" s="383">
        <v>0</v>
      </c>
      <c r="H2476" s="379"/>
    </row>
    <row r="2477" spans="1:8" ht="15.75">
      <c r="A2477" s="376" t="s">
        <v>147</v>
      </c>
      <c r="B2477" s="382" t="s">
        <v>148</v>
      </c>
      <c r="C2477" s="378" t="s">
        <v>303</v>
      </c>
      <c r="D2477" s="378" t="s">
        <v>304</v>
      </c>
      <c r="E2477" s="378" t="s">
        <v>26</v>
      </c>
      <c r="F2477" s="378" t="s">
        <v>26</v>
      </c>
      <c r="G2477" s="383">
        <v>0</v>
      </c>
      <c r="H2477" s="379"/>
    </row>
    <row r="2478" spans="1:8" ht="15.75">
      <c r="A2478" s="376" t="s">
        <v>151</v>
      </c>
      <c r="B2478" s="382" t="s">
        <v>152</v>
      </c>
      <c r="C2478" s="378" t="s">
        <v>305</v>
      </c>
      <c r="D2478" s="378" t="s">
        <v>306</v>
      </c>
      <c r="E2478" s="378" t="s">
        <v>26</v>
      </c>
      <c r="F2478" s="378" t="s">
        <v>26</v>
      </c>
      <c r="G2478" s="383">
        <v>0</v>
      </c>
      <c r="H2478" s="379"/>
    </row>
    <row r="2479" spans="1:8" ht="15.75">
      <c r="A2479" s="376" t="s">
        <v>155</v>
      </c>
      <c r="B2479" s="382" t="s">
        <v>156</v>
      </c>
      <c r="C2479" s="378" t="s">
        <v>307</v>
      </c>
      <c r="D2479" s="378" t="s">
        <v>308</v>
      </c>
      <c r="E2479" s="378" t="s">
        <v>26</v>
      </c>
      <c r="F2479" s="378" t="s">
        <v>26</v>
      </c>
      <c r="G2479" s="383">
        <v>0</v>
      </c>
      <c r="H2479" s="379"/>
    </row>
    <row r="2480" spans="1:8" ht="18.75" customHeight="1">
      <c r="A2480" s="376">
        <v>4</v>
      </c>
      <c r="B2480" s="579" t="s">
        <v>159</v>
      </c>
      <c r="C2480" s="579"/>
      <c r="D2480" s="579"/>
      <c r="E2480" s="579"/>
      <c r="F2480" s="579"/>
      <c r="G2480" s="579"/>
      <c r="H2480" s="579"/>
    </row>
    <row r="2481" spans="1:8" ht="31.5">
      <c r="A2481" s="376" t="s">
        <v>160</v>
      </c>
      <c r="B2481" s="381" t="s">
        <v>161</v>
      </c>
      <c r="C2481" s="378" t="s">
        <v>26</v>
      </c>
      <c r="D2481" s="378" t="s">
        <v>26</v>
      </c>
      <c r="E2481" s="378" t="s">
        <v>26</v>
      </c>
      <c r="F2481" s="378" t="s">
        <v>26</v>
      </c>
      <c r="G2481" s="378" t="s">
        <v>26</v>
      </c>
      <c r="H2481" s="379" t="s">
        <v>130</v>
      </c>
    </row>
    <row r="2482" spans="1:8" ht="47.25">
      <c r="A2482" s="376" t="s">
        <v>162</v>
      </c>
      <c r="B2482" s="381" t="s">
        <v>163</v>
      </c>
      <c r="C2482" s="378" t="s">
        <v>26</v>
      </c>
      <c r="D2482" s="378" t="s">
        <v>26</v>
      </c>
      <c r="E2482" s="378" t="s">
        <v>26</v>
      </c>
      <c r="F2482" s="378" t="s">
        <v>26</v>
      </c>
      <c r="G2482" s="378" t="s">
        <v>26</v>
      </c>
      <c r="H2482" s="379" t="s">
        <v>130</v>
      </c>
    </row>
    <row r="2483" spans="1:8" ht="31.5">
      <c r="A2483" s="376" t="s">
        <v>164</v>
      </c>
      <c r="B2483" s="382" t="s">
        <v>165</v>
      </c>
      <c r="C2483" s="378" t="s">
        <v>26</v>
      </c>
      <c r="D2483" s="378" t="s">
        <v>26</v>
      </c>
      <c r="E2483" s="378" t="s">
        <v>26</v>
      </c>
      <c r="F2483" s="378" t="s">
        <v>26</v>
      </c>
      <c r="G2483" s="378" t="s">
        <v>26</v>
      </c>
      <c r="H2483" s="379" t="s">
        <v>130</v>
      </c>
    </row>
    <row r="2484" spans="1:8" ht="31.5">
      <c r="A2484" s="384" t="s">
        <v>166</v>
      </c>
      <c r="B2484" s="385" t="s">
        <v>167</v>
      </c>
      <c r="C2484" s="386" t="s">
        <v>26</v>
      </c>
      <c r="D2484" s="386" t="s">
        <v>26</v>
      </c>
      <c r="E2484" s="386" t="s">
        <v>26</v>
      </c>
      <c r="F2484" s="386" t="s">
        <v>26</v>
      </c>
      <c r="G2484" s="386" t="s">
        <v>26</v>
      </c>
      <c r="H2484" s="387" t="s">
        <v>130</v>
      </c>
    </row>
    <row r="2485" spans="1:8" ht="15.75">
      <c r="A2485" s="388"/>
      <c r="B2485" s="389"/>
      <c r="C2485" s="390"/>
      <c r="D2485" s="390"/>
      <c r="E2485" s="390"/>
      <c r="F2485" s="390"/>
      <c r="G2485" s="390"/>
      <c r="H2485" s="98"/>
    </row>
    <row r="2486" spans="1:8" ht="18.75" customHeight="1">
      <c r="A2486" s="580" t="s">
        <v>168</v>
      </c>
      <c r="B2486" s="580"/>
      <c r="C2486" s="580"/>
      <c r="D2486" s="580"/>
      <c r="E2486" s="580"/>
      <c r="F2486" s="580"/>
      <c r="G2486" s="580"/>
      <c r="H2486" s="580"/>
    </row>
    <row r="2489" ht="15.75">
      <c r="H2489" s="6" t="s">
        <v>113</v>
      </c>
    </row>
    <row r="2490" ht="15.75">
      <c r="H2490" s="6" t="s">
        <v>114</v>
      </c>
    </row>
    <row r="2491" ht="15.75">
      <c r="H2491" s="6" t="s">
        <v>115</v>
      </c>
    </row>
    <row r="2492" ht="15.75">
      <c r="H2492" s="6"/>
    </row>
    <row r="2493" spans="1:8" ht="18.75" customHeight="1">
      <c r="A2493" s="622" t="s">
        <v>116</v>
      </c>
      <c r="B2493" s="622"/>
      <c r="C2493" s="622"/>
      <c r="D2493" s="622"/>
      <c r="E2493" s="622"/>
      <c r="F2493" s="622"/>
      <c r="G2493" s="622"/>
      <c r="H2493" s="622"/>
    </row>
    <row r="2494" spans="1:8" ht="18.75" customHeight="1">
      <c r="A2494" s="622" t="s">
        <v>117</v>
      </c>
      <c r="B2494" s="622"/>
      <c r="C2494" s="622"/>
      <c r="D2494" s="622"/>
      <c r="E2494" s="622"/>
      <c r="F2494" s="622"/>
      <c r="G2494" s="622"/>
      <c r="H2494" s="622"/>
    </row>
    <row r="2495" ht="15.75">
      <c r="H2495" s="6" t="s">
        <v>562</v>
      </c>
    </row>
    <row r="2496" ht="15.75">
      <c r="H2496" s="6" t="s">
        <v>769</v>
      </c>
    </row>
    <row r="2497" ht="15.75">
      <c r="H2497" s="6" t="s">
        <v>770</v>
      </c>
    </row>
    <row r="2498" ht="15.75">
      <c r="H2498" s="361" t="str">
        <f>H11</f>
        <v>                         Добровольский К.А.</v>
      </c>
    </row>
    <row r="2499" ht="15.75">
      <c r="H2499" s="6" t="s">
        <v>772</v>
      </c>
    </row>
    <row r="2500" ht="15.75">
      <c r="H2500" s="6" t="s">
        <v>567</v>
      </c>
    </row>
    <row r="2501" ht="15.75">
      <c r="A2501" s="362"/>
    </row>
    <row r="2502" ht="15.75">
      <c r="A2502" s="3" t="s">
        <v>309</v>
      </c>
    </row>
    <row r="2503" spans="1:8" ht="18.75" customHeight="1">
      <c r="A2503" s="623" t="s">
        <v>120</v>
      </c>
      <c r="B2503" s="623"/>
      <c r="C2503" s="623"/>
      <c r="D2503" s="623"/>
      <c r="E2503" s="623"/>
      <c r="F2503" s="623"/>
      <c r="G2503" s="623"/>
      <c r="H2503" s="623"/>
    </row>
    <row r="2504" spans="1:8" ht="15.75">
      <c r="A2504" s="364"/>
      <c r="B2504" s="364"/>
      <c r="C2504" s="366"/>
      <c r="D2504" s="366"/>
      <c r="E2504" s="366"/>
      <c r="F2504" s="366"/>
      <c r="G2504" s="366"/>
      <c r="H2504" s="366"/>
    </row>
    <row r="2505" spans="1:8" ht="16.5" customHeight="1">
      <c r="A2505" s="581" t="s">
        <v>121</v>
      </c>
      <c r="B2505" s="559" t="s">
        <v>122</v>
      </c>
      <c r="C2505" s="560" t="s">
        <v>123</v>
      </c>
      <c r="D2505" s="560"/>
      <c r="E2505" s="560"/>
      <c r="F2505" s="560"/>
      <c r="G2505" s="561" t="s">
        <v>124</v>
      </c>
      <c r="H2505" s="581" t="s">
        <v>125</v>
      </c>
    </row>
    <row r="2506" spans="1:8" ht="15.75">
      <c r="A2506" s="581"/>
      <c r="B2506" s="559"/>
      <c r="C2506" s="560"/>
      <c r="D2506" s="560"/>
      <c r="E2506" s="560"/>
      <c r="F2506" s="560"/>
      <c r="G2506" s="561"/>
      <c r="H2506" s="581"/>
    </row>
    <row r="2507" spans="1:8" ht="31.5">
      <c r="A2507" s="581"/>
      <c r="B2507" s="559"/>
      <c r="C2507" s="369" t="s">
        <v>126</v>
      </c>
      <c r="D2507" s="369" t="s">
        <v>127</v>
      </c>
      <c r="E2507" s="370" t="s">
        <v>126</v>
      </c>
      <c r="F2507" s="371" t="s">
        <v>127</v>
      </c>
      <c r="G2507" s="561"/>
      <c r="H2507" s="581"/>
    </row>
    <row r="2508" spans="1:8" ht="15.75">
      <c r="A2508" s="367">
        <v>1</v>
      </c>
      <c r="B2508" s="367">
        <v>2</v>
      </c>
      <c r="C2508" s="372">
        <v>3</v>
      </c>
      <c r="D2508" s="372">
        <v>4</v>
      </c>
      <c r="E2508" s="373"/>
      <c r="F2508" s="374"/>
      <c r="G2508" s="368">
        <v>5</v>
      </c>
      <c r="H2508" s="367">
        <v>6</v>
      </c>
    </row>
    <row r="2509" spans="1:8" ht="18.75" customHeight="1">
      <c r="A2509" s="375">
        <v>1</v>
      </c>
      <c r="B2509" s="582" t="s">
        <v>128</v>
      </c>
      <c r="C2509" s="582"/>
      <c r="D2509" s="582"/>
      <c r="E2509" s="582"/>
      <c r="F2509" s="582"/>
      <c r="G2509" s="582"/>
      <c r="H2509" s="582"/>
    </row>
    <row r="2510" spans="1:8" ht="15.75">
      <c r="A2510" s="376" t="s">
        <v>594</v>
      </c>
      <c r="B2510" s="377" t="s">
        <v>129</v>
      </c>
      <c r="C2510" s="378" t="s">
        <v>26</v>
      </c>
      <c r="D2510" s="378" t="s">
        <v>26</v>
      </c>
      <c r="E2510" s="378" t="s">
        <v>26</v>
      </c>
      <c r="F2510" s="378" t="s">
        <v>26</v>
      </c>
      <c r="G2510" s="378" t="s">
        <v>26</v>
      </c>
      <c r="H2510" s="379" t="s">
        <v>130</v>
      </c>
    </row>
    <row r="2511" spans="1:8" ht="15.75">
      <c r="A2511" s="376" t="s">
        <v>735</v>
      </c>
      <c r="B2511" s="377" t="s">
        <v>131</v>
      </c>
      <c r="C2511" s="378" t="s">
        <v>26</v>
      </c>
      <c r="D2511" s="378" t="s">
        <v>26</v>
      </c>
      <c r="E2511" s="378" t="s">
        <v>26</v>
      </c>
      <c r="F2511" s="378" t="s">
        <v>26</v>
      </c>
      <c r="G2511" s="378" t="s">
        <v>26</v>
      </c>
      <c r="H2511" s="379" t="s">
        <v>130</v>
      </c>
    </row>
    <row r="2512" spans="1:8" ht="31.5">
      <c r="A2512" s="376" t="s">
        <v>737</v>
      </c>
      <c r="B2512" s="381" t="s">
        <v>132</v>
      </c>
      <c r="C2512" s="378" t="s">
        <v>26</v>
      </c>
      <c r="D2512" s="378" t="s">
        <v>26</v>
      </c>
      <c r="E2512" s="378" t="s">
        <v>26</v>
      </c>
      <c r="F2512" s="378" t="s">
        <v>26</v>
      </c>
      <c r="G2512" s="378" t="s">
        <v>26</v>
      </c>
      <c r="H2512" s="379" t="s">
        <v>130</v>
      </c>
    </row>
    <row r="2513" spans="1:8" ht="47.25">
      <c r="A2513" s="376" t="s">
        <v>739</v>
      </c>
      <c r="B2513" s="381" t="s">
        <v>133</v>
      </c>
      <c r="C2513" s="378" t="s">
        <v>26</v>
      </c>
      <c r="D2513" s="378" t="s">
        <v>26</v>
      </c>
      <c r="E2513" s="378" t="s">
        <v>26</v>
      </c>
      <c r="F2513" s="378" t="s">
        <v>26</v>
      </c>
      <c r="G2513" s="378" t="s">
        <v>26</v>
      </c>
      <c r="H2513" s="379" t="s">
        <v>130</v>
      </c>
    </row>
    <row r="2514" spans="1:8" ht="15.75">
      <c r="A2514" s="376" t="s">
        <v>852</v>
      </c>
      <c r="B2514" s="382" t="s">
        <v>134</v>
      </c>
      <c r="C2514" s="378" t="s">
        <v>26</v>
      </c>
      <c r="D2514" s="378" t="s">
        <v>26</v>
      </c>
      <c r="E2514" s="378" t="s">
        <v>26</v>
      </c>
      <c r="F2514" s="378" t="s">
        <v>26</v>
      </c>
      <c r="G2514" s="378" t="s">
        <v>26</v>
      </c>
      <c r="H2514" s="379" t="s">
        <v>130</v>
      </c>
    </row>
    <row r="2515" spans="1:8" ht="15.75">
      <c r="A2515" s="376" t="s">
        <v>853</v>
      </c>
      <c r="B2515" s="382" t="s">
        <v>135</v>
      </c>
      <c r="C2515" s="378" t="s">
        <v>26</v>
      </c>
      <c r="D2515" s="378" t="s">
        <v>26</v>
      </c>
      <c r="E2515" s="378" t="s">
        <v>26</v>
      </c>
      <c r="F2515" s="378" t="s">
        <v>26</v>
      </c>
      <c r="G2515" s="378" t="s">
        <v>26</v>
      </c>
      <c r="H2515" s="379" t="s">
        <v>130</v>
      </c>
    </row>
    <row r="2516" spans="1:8" ht="18.75" customHeight="1">
      <c r="A2516" s="376">
        <v>2</v>
      </c>
      <c r="B2516" s="579" t="s">
        <v>136</v>
      </c>
      <c r="C2516" s="579"/>
      <c r="D2516" s="579"/>
      <c r="E2516" s="579"/>
      <c r="F2516" s="579"/>
      <c r="G2516" s="579"/>
      <c r="H2516" s="579"/>
    </row>
    <row r="2517" spans="1:8" ht="31.5">
      <c r="A2517" s="376" t="s">
        <v>743</v>
      </c>
      <c r="B2517" s="381" t="s">
        <v>137</v>
      </c>
      <c r="C2517" s="378" t="s">
        <v>299</v>
      </c>
      <c r="D2517" s="378" t="s">
        <v>300</v>
      </c>
      <c r="E2517" s="378" t="s">
        <v>26</v>
      </c>
      <c r="F2517" s="378" t="s">
        <v>26</v>
      </c>
      <c r="G2517" s="383">
        <v>0</v>
      </c>
      <c r="H2517" s="379"/>
    </row>
    <row r="2518" spans="1:8" ht="47.25">
      <c r="A2518" s="376" t="s">
        <v>746</v>
      </c>
      <c r="B2518" s="381" t="s">
        <v>140</v>
      </c>
      <c r="C2518" s="378" t="s">
        <v>26</v>
      </c>
      <c r="D2518" s="378" t="s">
        <v>26</v>
      </c>
      <c r="E2518" s="378" t="s">
        <v>26</v>
      </c>
      <c r="F2518" s="378" t="s">
        <v>26</v>
      </c>
      <c r="G2518" s="378" t="s">
        <v>26</v>
      </c>
      <c r="H2518" s="379" t="s">
        <v>130</v>
      </c>
    </row>
    <row r="2519" spans="1:8" ht="31.5">
      <c r="A2519" s="376" t="s">
        <v>141</v>
      </c>
      <c r="B2519" s="381" t="s">
        <v>142</v>
      </c>
      <c r="C2519" s="378" t="s">
        <v>26</v>
      </c>
      <c r="D2519" s="378" t="s">
        <v>26</v>
      </c>
      <c r="E2519" s="378" t="s">
        <v>26</v>
      </c>
      <c r="F2519" s="378" t="s">
        <v>26</v>
      </c>
      <c r="G2519" s="378" t="s">
        <v>26</v>
      </c>
      <c r="H2519" s="379" t="s">
        <v>130</v>
      </c>
    </row>
    <row r="2520" spans="1:8" ht="18.75" customHeight="1">
      <c r="A2520" s="376">
        <v>3</v>
      </c>
      <c r="B2520" s="579" t="s">
        <v>143</v>
      </c>
      <c r="C2520" s="579"/>
      <c r="D2520" s="579"/>
      <c r="E2520" s="579"/>
      <c r="F2520" s="579"/>
      <c r="G2520" s="579"/>
      <c r="H2520" s="579"/>
    </row>
    <row r="2521" spans="1:8" ht="31.5">
      <c r="A2521" s="376" t="s">
        <v>756</v>
      </c>
      <c r="B2521" s="382" t="s">
        <v>144</v>
      </c>
      <c r="C2521" s="378" t="s">
        <v>26</v>
      </c>
      <c r="D2521" s="378" t="s">
        <v>26</v>
      </c>
      <c r="E2521" s="378" t="s">
        <v>26</v>
      </c>
      <c r="F2521" s="378" t="s">
        <v>26</v>
      </c>
      <c r="G2521" s="378" t="s">
        <v>26</v>
      </c>
      <c r="H2521" s="379" t="s">
        <v>130</v>
      </c>
    </row>
    <row r="2522" spans="1:8" ht="15.75">
      <c r="A2522" s="376" t="s">
        <v>757</v>
      </c>
      <c r="B2522" s="382" t="s">
        <v>145</v>
      </c>
      <c r="C2522" s="378" t="s">
        <v>301</v>
      </c>
      <c r="D2522" s="378" t="s">
        <v>302</v>
      </c>
      <c r="E2522" s="378" t="s">
        <v>26</v>
      </c>
      <c r="F2522" s="378" t="s">
        <v>26</v>
      </c>
      <c r="G2522" s="383">
        <v>0</v>
      </c>
      <c r="H2522" s="379"/>
    </row>
    <row r="2523" spans="1:8" ht="15.75">
      <c r="A2523" s="376" t="s">
        <v>147</v>
      </c>
      <c r="B2523" s="382" t="s">
        <v>148</v>
      </c>
      <c r="C2523" s="378" t="s">
        <v>303</v>
      </c>
      <c r="D2523" s="378" t="s">
        <v>304</v>
      </c>
      <c r="E2523" s="378" t="s">
        <v>26</v>
      </c>
      <c r="F2523" s="378" t="s">
        <v>26</v>
      </c>
      <c r="G2523" s="383">
        <v>0</v>
      </c>
      <c r="H2523" s="379"/>
    </row>
    <row r="2524" spans="1:8" ht="15.75">
      <c r="A2524" s="376" t="s">
        <v>151</v>
      </c>
      <c r="B2524" s="382" t="s">
        <v>152</v>
      </c>
      <c r="C2524" s="378" t="s">
        <v>305</v>
      </c>
      <c r="D2524" s="378" t="s">
        <v>306</v>
      </c>
      <c r="E2524" s="378" t="s">
        <v>26</v>
      </c>
      <c r="F2524" s="378" t="s">
        <v>26</v>
      </c>
      <c r="G2524" s="383">
        <v>0</v>
      </c>
      <c r="H2524" s="379"/>
    </row>
    <row r="2525" spans="1:8" ht="15.75">
      <c r="A2525" s="376" t="s">
        <v>155</v>
      </c>
      <c r="B2525" s="382" t="s">
        <v>156</v>
      </c>
      <c r="C2525" s="378" t="s">
        <v>307</v>
      </c>
      <c r="D2525" s="378" t="s">
        <v>308</v>
      </c>
      <c r="E2525" s="378" t="s">
        <v>26</v>
      </c>
      <c r="F2525" s="378" t="s">
        <v>26</v>
      </c>
      <c r="G2525" s="383">
        <v>0</v>
      </c>
      <c r="H2525" s="379"/>
    </row>
    <row r="2526" spans="1:8" ht="18.75" customHeight="1">
      <c r="A2526" s="376">
        <v>4</v>
      </c>
      <c r="B2526" s="579" t="s">
        <v>159</v>
      </c>
      <c r="C2526" s="579"/>
      <c r="D2526" s="579"/>
      <c r="E2526" s="579"/>
      <c r="F2526" s="579"/>
      <c r="G2526" s="579"/>
      <c r="H2526" s="579"/>
    </row>
    <row r="2527" spans="1:8" ht="31.5">
      <c r="A2527" s="376" t="s">
        <v>160</v>
      </c>
      <c r="B2527" s="381" t="s">
        <v>161</v>
      </c>
      <c r="C2527" s="378" t="s">
        <v>26</v>
      </c>
      <c r="D2527" s="378" t="s">
        <v>26</v>
      </c>
      <c r="E2527" s="378" t="s">
        <v>26</v>
      </c>
      <c r="F2527" s="378" t="s">
        <v>26</v>
      </c>
      <c r="G2527" s="378" t="s">
        <v>26</v>
      </c>
      <c r="H2527" s="379" t="s">
        <v>130</v>
      </c>
    </row>
    <row r="2528" spans="1:8" ht="47.25">
      <c r="A2528" s="376" t="s">
        <v>162</v>
      </c>
      <c r="B2528" s="381" t="s">
        <v>163</v>
      </c>
      <c r="C2528" s="378" t="s">
        <v>26</v>
      </c>
      <c r="D2528" s="378" t="s">
        <v>26</v>
      </c>
      <c r="E2528" s="378" t="s">
        <v>26</v>
      </c>
      <c r="F2528" s="378" t="s">
        <v>26</v>
      </c>
      <c r="G2528" s="378" t="s">
        <v>26</v>
      </c>
      <c r="H2528" s="379" t="s">
        <v>130</v>
      </c>
    </row>
    <row r="2529" spans="1:8" ht="31.5">
      <c r="A2529" s="376" t="s">
        <v>164</v>
      </c>
      <c r="B2529" s="382" t="s">
        <v>165</v>
      </c>
      <c r="C2529" s="378" t="s">
        <v>26</v>
      </c>
      <c r="D2529" s="378" t="s">
        <v>26</v>
      </c>
      <c r="E2529" s="378" t="s">
        <v>26</v>
      </c>
      <c r="F2529" s="378" t="s">
        <v>26</v>
      </c>
      <c r="G2529" s="378" t="s">
        <v>26</v>
      </c>
      <c r="H2529" s="379" t="s">
        <v>130</v>
      </c>
    </row>
    <row r="2530" spans="1:8" ht="31.5">
      <c r="A2530" s="384" t="s">
        <v>166</v>
      </c>
      <c r="B2530" s="385" t="s">
        <v>167</v>
      </c>
      <c r="C2530" s="386" t="s">
        <v>26</v>
      </c>
      <c r="D2530" s="386" t="s">
        <v>26</v>
      </c>
      <c r="E2530" s="386" t="s">
        <v>26</v>
      </c>
      <c r="F2530" s="386" t="s">
        <v>26</v>
      </c>
      <c r="G2530" s="386" t="s">
        <v>26</v>
      </c>
      <c r="H2530" s="387" t="s">
        <v>130</v>
      </c>
    </row>
    <row r="2531" spans="1:8" ht="15.75">
      <c r="A2531" s="388"/>
      <c r="B2531" s="389"/>
      <c r="C2531" s="390"/>
      <c r="D2531" s="390"/>
      <c r="E2531" s="390"/>
      <c r="F2531" s="390"/>
      <c r="G2531" s="390"/>
      <c r="H2531" s="98"/>
    </row>
    <row r="2532" spans="1:8" ht="18.75" customHeight="1">
      <c r="A2532" s="580" t="s">
        <v>168</v>
      </c>
      <c r="B2532" s="580"/>
      <c r="C2532" s="580"/>
      <c r="D2532" s="580"/>
      <c r="E2532" s="580"/>
      <c r="F2532" s="580"/>
      <c r="G2532" s="580"/>
      <c r="H2532" s="580"/>
    </row>
    <row r="2535" ht="15.75">
      <c r="H2535" s="6" t="s">
        <v>113</v>
      </c>
    </row>
    <row r="2536" ht="15.75">
      <c r="H2536" s="6" t="s">
        <v>114</v>
      </c>
    </row>
    <row r="2537" ht="15.75">
      <c r="H2537" s="6" t="s">
        <v>115</v>
      </c>
    </row>
    <row r="2538" ht="15.75">
      <c r="H2538" s="6"/>
    </row>
    <row r="2539" spans="1:8" ht="18.75" customHeight="1">
      <c r="A2539" s="622" t="s">
        <v>116</v>
      </c>
      <c r="B2539" s="622"/>
      <c r="C2539" s="622"/>
      <c r="D2539" s="622"/>
      <c r="E2539" s="622"/>
      <c r="F2539" s="622"/>
      <c r="G2539" s="622"/>
      <c r="H2539" s="622"/>
    </row>
    <row r="2540" spans="1:8" ht="18.75" customHeight="1">
      <c r="A2540" s="622" t="s">
        <v>117</v>
      </c>
      <c r="B2540" s="622"/>
      <c r="C2540" s="622"/>
      <c r="D2540" s="622"/>
      <c r="E2540" s="622"/>
      <c r="F2540" s="622"/>
      <c r="G2540" s="622"/>
      <c r="H2540" s="622"/>
    </row>
    <row r="2541" ht="15.75">
      <c r="H2541" s="6" t="s">
        <v>562</v>
      </c>
    </row>
    <row r="2542" ht="15.75">
      <c r="H2542" s="6" t="s">
        <v>769</v>
      </c>
    </row>
    <row r="2543" ht="15.75">
      <c r="H2543" s="6" t="s">
        <v>770</v>
      </c>
    </row>
    <row r="2544" ht="15.75">
      <c r="H2544" s="361" t="str">
        <f>H11</f>
        <v>                         Добровольский К.А.</v>
      </c>
    </row>
    <row r="2545" ht="15.75">
      <c r="H2545" s="6" t="s">
        <v>772</v>
      </c>
    </row>
    <row r="2546" ht="15.75">
      <c r="H2546" s="6" t="s">
        <v>567</v>
      </c>
    </row>
    <row r="2547" ht="15.75">
      <c r="A2547" s="362"/>
    </row>
    <row r="2548" ht="15.75">
      <c r="A2548" s="3" t="s">
        <v>310</v>
      </c>
    </row>
    <row r="2549" spans="1:8" ht="18.75" customHeight="1">
      <c r="A2549" s="623" t="s">
        <v>120</v>
      </c>
      <c r="B2549" s="623"/>
      <c r="C2549" s="623"/>
      <c r="D2549" s="623"/>
      <c r="E2549" s="623"/>
      <c r="F2549" s="623"/>
      <c r="G2549" s="623"/>
      <c r="H2549" s="623"/>
    </row>
    <row r="2550" spans="1:8" ht="15.75">
      <c r="A2550" s="364"/>
      <c r="B2550" s="364"/>
      <c r="C2550" s="366"/>
      <c r="D2550" s="366"/>
      <c r="E2550" s="366"/>
      <c r="F2550" s="366"/>
      <c r="G2550" s="366"/>
      <c r="H2550" s="366"/>
    </row>
    <row r="2551" spans="1:8" ht="16.5" customHeight="1">
      <c r="A2551" s="581" t="s">
        <v>121</v>
      </c>
      <c r="B2551" s="559" t="s">
        <v>122</v>
      </c>
      <c r="C2551" s="560" t="s">
        <v>123</v>
      </c>
      <c r="D2551" s="560"/>
      <c r="E2551" s="560"/>
      <c r="F2551" s="560"/>
      <c r="G2551" s="561" t="s">
        <v>124</v>
      </c>
      <c r="H2551" s="581" t="s">
        <v>125</v>
      </c>
    </row>
    <row r="2552" spans="1:8" ht="15.75">
      <c r="A2552" s="581"/>
      <c r="B2552" s="559"/>
      <c r="C2552" s="560"/>
      <c r="D2552" s="560"/>
      <c r="E2552" s="560"/>
      <c r="F2552" s="560"/>
      <c r="G2552" s="561"/>
      <c r="H2552" s="581"/>
    </row>
    <row r="2553" spans="1:8" ht="31.5">
      <c r="A2553" s="581"/>
      <c r="B2553" s="559"/>
      <c r="C2553" s="369" t="s">
        <v>126</v>
      </c>
      <c r="D2553" s="369" t="s">
        <v>127</v>
      </c>
      <c r="E2553" s="370" t="s">
        <v>126</v>
      </c>
      <c r="F2553" s="371" t="s">
        <v>127</v>
      </c>
      <c r="G2553" s="561"/>
      <c r="H2553" s="581"/>
    </row>
    <row r="2554" spans="1:8" ht="15.75">
      <c r="A2554" s="367">
        <v>1</v>
      </c>
      <c r="B2554" s="367">
        <v>2</v>
      </c>
      <c r="C2554" s="372">
        <v>3</v>
      </c>
      <c r="D2554" s="372">
        <v>4</v>
      </c>
      <c r="E2554" s="373"/>
      <c r="F2554" s="374"/>
      <c r="G2554" s="368">
        <v>5</v>
      </c>
      <c r="H2554" s="367">
        <v>6</v>
      </c>
    </row>
    <row r="2555" spans="1:8" ht="18.75" customHeight="1">
      <c r="A2555" s="375">
        <v>1</v>
      </c>
      <c r="B2555" s="582" t="s">
        <v>128</v>
      </c>
      <c r="C2555" s="582"/>
      <c r="D2555" s="582"/>
      <c r="E2555" s="582"/>
      <c r="F2555" s="582"/>
      <c r="G2555" s="582"/>
      <c r="H2555" s="582"/>
    </row>
    <row r="2556" spans="1:8" ht="15.75">
      <c r="A2556" s="376" t="s">
        <v>594</v>
      </c>
      <c r="B2556" s="377" t="s">
        <v>129</v>
      </c>
      <c r="C2556" s="378" t="s">
        <v>26</v>
      </c>
      <c r="D2556" s="378" t="s">
        <v>26</v>
      </c>
      <c r="E2556" s="378" t="s">
        <v>26</v>
      </c>
      <c r="F2556" s="378" t="s">
        <v>26</v>
      </c>
      <c r="G2556" s="378" t="s">
        <v>26</v>
      </c>
      <c r="H2556" s="379" t="s">
        <v>130</v>
      </c>
    </row>
    <row r="2557" spans="1:8" ht="15.75">
      <c r="A2557" s="376" t="s">
        <v>735</v>
      </c>
      <c r="B2557" s="377" t="s">
        <v>131</v>
      </c>
      <c r="C2557" s="378" t="s">
        <v>26</v>
      </c>
      <c r="D2557" s="378" t="s">
        <v>26</v>
      </c>
      <c r="E2557" s="378" t="s">
        <v>26</v>
      </c>
      <c r="F2557" s="378" t="s">
        <v>26</v>
      </c>
      <c r="G2557" s="378" t="s">
        <v>26</v>
      </c>
      <c r="H2557" s="379" t="s">
        <v>130</v>
      </c>
    </row>
    <row r="2558" spans="1:8" ht="31.5">
      <c r="A2558" s="376" t="s">
        <v>737</v>
      </c>
      <c r="B2558" s="381" t="s">
        <v>132</v>
      </c>
      <c r="C2558" s="378" t="s">
        <v>26</v>
      </c>
      <c r="D2558" s="378" t="s">
        <v>26</v>
      </c>
      <c r="E2558" s="378" t="s">
        <v>26</v>
      </c>
      <c r="F2558" s="378" t="s">
        <v>26</v>
      </c>
      <c r="G2558" s="378" t="s">
        <v>26</v>
      </c>
      <c r="H2558" s="379" t="s">
        <v>130</v>
      </c>
    </row>
    <row r="2559" spans="1:8" ht="47.25">
      <c r="A2559" s="376" t="s">
        <v>739</v>
      </c>
      <c r="B2559" s="381" t="s">
        <v>133</v>
      </c>
      <c r="C2559" s="378" t="s">
        <v>26</v>
      </c>
      <c r="D2559" s="378" t="s">
        <v>26</v>
      </c>
      <c r="E2559" s="378" t="s">
        <v>26</v>
      </c>
      <c r="F2559" s="378" t="s">
        <v>26</v>
      </c>
      <c r="G2559" s="378" t="s">
        <v>26</v>
      </c>
      <c r="H2559" s="379" t="s">
        <v>130</v>
      </c>
    </row>
    <row r="2560" spans="1:8" ht="15.75">
      <c r="A2560" s="376" t="s">
        <v>852</v>
      </c>
      <c r="B2560" s="382" t="s">
        <v>134</v>
      </c>
      <c r="C2560" s="378" t="s">
        <v>26</v>
      </c>
      <c r="D2560" s="378" t="s">
        <v>26</v>
      </c>
      <c r="E2560" s="378" t="s">
        <v>26</v>
      </c>
      <c r="F2560" s="378" t="s">
        <v>26</v>
      </c>
      <c r="G2560" s="378" t="s">
        <v>26</v>
      </c>
      <c r="H2560" s="379" t="s">
        <v>130</v>
      </c>
    </row>
    <row r="2561" spans="1:8" ht="15.75">
      <c r="A2561" s="376" t="s">
        <v>853</v>
      </c>
      <c r="B2561" s="382" t="s">
        <v>135</v>
      </c>
      <c r="C2561" s="378" t="s">
        <v>26</v>
      </c>
      <c r="D2561" s="378" t="s">
        <v>26</v>
      </c>
      <c r="E2561" s="378" t="s">
        <v>26</v>
      </c>
      <c r="F2561" s="378" t="s">
        <v>26</v>
      </c>
      <c r="G2561" s="378" t="s">
        <v>26</v>
      </c>
      <c r="H2561" s="379" t="s">
        <v>130</v>
      </c>
    </row>
    <row r="2562" spans="1:8" ht="18.75" customHeight="1">
      <c r="A2562" s="376">
        <v>2</v>
      </c>
      <c r="B2562" s="579" t="s">
        <v>136</v>
      </c>
      <c r="C2562" s="579"/>
      <c r="D2562" s="579"/>
      <c r="E2562" s="579"/>
      <c r="F2562" s="579"/>
      <c r="G2562" s="579"/>
      <c r="H2562" s="579"/>
    </row>
    <row r="2563" spans="1:8" ht="31.5">
      <c r="A2563" s="376" t="s">
        <v>743</v>
      </c>
      <c r="B2563" s="381" t="s">
        <v>137</v>
      </c>
      <c r="C2563" s="378" t="s">
        <v>299</v>
      </c>
      <c r="D2563" s="378" t="s">
        <v>300</v>
      </c>
      <c r="E2563" s="378" t="s">
        <v>26</v>
      </c>
      <c r="F2563" s="378" t="s">
        <v>26</v>
      </c>
      <c r="G2563" s="383">
        <v>0</v>
      </c>
      <c r="H2563" s="379"/>
    </row>
    <row r="2564" spans="1:8" ht="47.25">
      <c r="A2564" s="376" t="s">
        <v>746</v>
      </c>
      <c r="B2564" s="381" t="s">
        <v>140</v>
      </c>
      <c r="C2564" s="378" t="s">
        <v>26</v>
      </c>
      <c r="D2564" s="378" t="s">
        <v>26</v>
      </c>
      <c r="E2564" s="378" t="s">
        <v>26</v>
      </c>
      <c r="F2564" s="378" t="s">
        <v>26</v>
      </c>
      <c r="G2564" s="378" t="s">
        <v>26</v>
      </c>
      <c r="H2564" s="379" t="s">
        <v>130</v>
      </c>
    </row>
    <row r="2565" spans="1:8" ht="31.5">
      <c r="A2565" s="376" t="s">
        <v>141</v>
      </c>
      <c r="B2565" s="381" t="s">
        <v>142</v>
      </c>
      <c r="C2565" s="378" t="s">
        <v>26</v>
      </c>
      <c r="D2565" s="378" t="s">
        <v>26</v>
      </c>
      <c r="E2565" s="378" t="s">
        <v>26</v>
      </c>
      <c r="F2565" s="378" t="s">
        <v>26</v>
      </c>
      <c r="G2565" s="378" t="s">
        <v>26</v>
      </c>
      <c r="H2565" s="379" t="s">
        <v>130</v>
      </c>
    </row>
    <row r="2566" spans="1:8" ht="18.75" customHeight="1">
      <c r="A2566" s="376">
        <v>3</v>
      </c>
      <c r="B2566" s="579" t="s">
        <v>143</v>
      </c>
      <c r="C2566" s="579"/>
      <c r="D2566" s="579"/>
      <c r="E2566" s="579"/>
      <c r="F2566" s="579"/>
      <c r="G2566" s="579"/>
      <c r="H2566" s="579"/>
    </row>
    <row r="2567" spans="1:8" ht="31.5">
      <c r="A2567" s="376" t="s">
        <v>756</v>
      </c>
      <c r="B2567" s="382" t="s">
        <v>144</v>
      </c>
      <c r="C2567" s="378" t="s">
        <v>26</v>
      </c>
      <c r="D2567" s="378" t="s">
        <v>26</v>
      </c>
      <c r="E2567" s="378" t="s">
        <v>26</v>
      </c>
      <c r="F2567" s="378" t="s">
        <v>26</v>
      </c>
      <c r="G2567" s="378" t="s">
        <v>26</v>
      </c>
      <c r="H2567" s="379" t="s">
        <v>130</v>
      </c>
    </row>
    <row r="2568" spans="1:8" ht="15.75">
      <c r="A2568" s="376" t="s">
        <v>757</v>
      </c>
      <c r="B2568" s="382" t="s">
        <v>145</v>
      </c>
      <c r="C2568" s="378" t="s">
        <v>301</v>
      </c>
      <c r="D2568" s="378" t="s">
        <v>302</v>
      </c>
      <c r="E2568" s="378" t="s">
        <v>26</v>
      </c>
      <c r="F2568" s="378" t="s">
        <v>26</v>
      </c>
      <c r="G2568" s="383">
        <v>0</v>
      </c>
      <c r="H2568" s="379"/>
    </row>
    <row r="2569" spans="1:8" ht="15.75">
      <c r="A2569" s="376" t="s">
        <v>147</v>
      </c>
      <c r="B2569" s="382" t="s">
        <v>148</v>
      </c>
      <c r="C2569" s="378" t="s">
        <v>303</v>
      </c>
      <c r="D2569" s="378" t="s">
        <v>304</v>
      </c>
      <c r="E2569" s="378" t="s">
        <v>26</v>
      </c>
      <c r="F2569" s="378" t="s">
        <v>26</v>
      </c>
      <c r="G2569" s="383">
        <v>0</v>
      </c>
      <c r="H2569" s="379"/>
    </row>
    <row r="2570" spans="1:8" ht="15.75">
      <c r="A2570" s="376" t="s">
        <v>151</v>
      </c>
      <c r="B2570" s="382" t="s">
        <v>152</v>
      </c>
      <c r="C2570" s="378" t="s">
        <v>305</v>
      </c>
      <c r="D2570" s="378" t="s">
        <v>306</v>
      </c>
      <c r="E2570" s="378" t="s">
        <v>26</v>
      </c>
      <c r="F2570" s="378" t="s">
        <v>26</v>
      </c>
      <c r="G2570" s="383">
        <v>0</v>
      </c>
      <c r="H2570" s="379"/>
    </row>
    <row r="2571" spans="1:8" ht="15.75">
      <c r="A2571" s="376" t="s">
        <v>155</v>
      </c>
      <c r="B2571" s="382" t="s">
        <v>156</v>
      </c>
      <c r="C2571" s="378" t="s">
        <v>307</v>
      </c>
      <c r="D2571" s="378" t="s">
        <v>308</v>
      </c>
      <c r="E2571" s="378" t="s">
        <v>26</v>
      </c>
      <c r="F2571" s="378" t="s">
        <v>26</v>
      </c>
      <c r="G2571" s="383">
        <v>0</v>
      </c>
      <c r="H2571" s="379"/>
    </row>
    <row r="2572" spans="1:8" ht="18.75" customHeight="1">
      <c r="A2572" s="376">
        <v>4</v>
      </c>
      <c r="B2572" s="579" t="s">
        <v>159</v>
      </c>
      <c r="C2572" s="579"/>
      <c r="D2572" s="579"/>
      <c r="E2572" s="579"/>
      <c r="F2572" s="579"/>
      <c r="G2572" s="579"/>
      <c r="H2572" s="579"/>
    </row>
    <row r="2573" spans="1:8" ht="31.5">
      <c r="A2573" s="376" t="s">
        <v>160</v>
      </c>
      <c r="B2573" s="381" t="s">
        <v>161</v>
      </c>
      <c r="C2573" s="378" t="s">
        <v>26</v>
      </c>
      <c r="D2573" s="378" t="s">
        <v>26</v>
      </c>
      <c r="E2573" s="378" t="s">
        <v>26</v>
      </c>
      <c r="F2573" s="378" t="s">
        <v>26</v>
      </c>
      <c r="G2573" s="378" t="s">
        <v>26</v>
      </c>
      <c r="H2573" s="379" t="s">
        <v>130</v>
      </c>
    </row>
    <row r="2574" spans="1:8" ht="47.25">
      <c r="A2574" s="376" t="s">
        <v>162</v>
      </c>
      <c r="B2574" s="381" t="s">
        <v>163</v>
      </c>
      <c r="C2574" s="378" t="s">
        <v>26</v>
      </c>
      <c r="D2574" s="378" t="s">
        <v>26</v>
      </c>
      <c r="E2574" s="378" t="s">
        <v>26</v>
      </c>
      <c r="F2574" s="378" t="s">
        <v>26</v>
      </c>
      <c r="G2574" s="378" t="s">
        <v>26</v>
      </c>
      <c r="H2574" s="379" t="s">
        <v>130</v>
      </c>
    </row>
    <row r="2575" spans="1:8" ht="31.5">
      <c r="A2575" s="376" t="s">
        <v>164</v>
      </c>
      <c r="B2575" s="382" t="s">
        <v>165</v>
      </c>
      <c r="C2575" s="378" t="s">
        <v>26</v>
      </c>
      <c r="D2575" s="378" t="s">
        <v>26</v>
      </c>
      <c r="E2575" s="378" t="s">
        <v>26</v>
      </c>
      <c r="F2575" s="378" t="s">
        <v>26</v>
      </c>
      <c r="G2575" s="378" t="s">
        <v>26</v>
      </c>
      <c r="H2575" s="379" t="s">
        <v>130</v>
      </c>
    </row>
    <row r="2576" spans="1:8" ht="31.5">
      <c r="A2576" s="384" t="s">
        <v>166</v>
      </c>
      <c r="B2576" s="385" t="s">
        <v>167</v>
      </c>
      <c r="C2576" s="386" t="s">
        <v>26</v>
      </c>
      <c r="D2576" s="386" t="s">
        <v>26</v>
      </c>
      <c r="E2576" s="386" t="s">
        <v>26</v>
      </c>
      <c r="F2576" s="386" t="s">
        <v>26</v>
      </c>
      <c r="G2576" s="386" t="s">
        <v>26</v>
      </c>
      <c r="H2576" s="387" t="s">
        <v>130</v>
      </c>
    </row>
    <row r="2577" spans="1:8" ht="15.75">
      <c r="A2577" s="388"/>
      <c r="B2577" s="389"/>
      <c r="C2577" s="390"/>
      <c r="D2577" s="390"/>
      <c r="E2577" s="390"/>
      <c r="F2577" s="390"/>
      <c r="G2577" s="390"/>
      <c r="H2577" s="98"/>
    </row>
    <row r="2578" spans="1:8" ht="18.75" customHeight="1">
      <c r="A2578" s="580" t="s">
        <v>168</v>
      </c>
      <c r="B2578" s="580"/>
      <c r="C2578" s="580"/>
      <c r="D2578" s="580"/>
      <c r="E2578" s="580"/>
      <c r="F2578" s="580"/>
      <c r="G2578" s="580"/>
      <c r="H2578" s="580"/>
    </row>
    <row r="2581" ht="15.75">
      <c r="H2581" s="6" t="s">
        <v>113</v>
      </c>
    </row>
    <row r="2582" ht="15.75">
      <c r="H2582" s="6" t="s">
        <v>114</v>
      </c>
    </row>
    <row r="2583" ht="15.75">
      <c r="H2583" s="6" t="s">
        <v>115</v>
      </c>
    </row>
    <row r="2584" ht="15.75">
      <c r="H2584" s="6"/>
    </row>
    <row r="2585" spans="1:8" ht="18.75" customHeight="1">
      <c r="A2585" s="622" t="s">
        <v>116</v>
      </c>
      <c r="B2585" s="622"/>
      <c r="C2585" s="622"/>
      <c r="D2585" s="622"/>
      <c r="E2585" s="622"/>
      <c r="F2585" s="622"/>
      <c r="G2585" s="622"/>
      <c r="H2585" s="622"/>
    </row>
    <row r="2586" spans="1:8" ht="18.75" customHeight="1">
      <c r="A2586" s="622" t="s">
        <v>117</v>
      </c>
      <c r="B2586" s="622"/>
      <c r="C2586" s="622"/>
      <c r="D2586" s="622"/>
      <c r="E2586" s="622"/>
      <c r="F2586" s="622"/>
      <c r="G2586" s="622"/>
      <c r="H2586" s="622"/>
    </row>
    <row r="2587" ht="15.75">
      <c r="H2587" s="6" t="s">
        <v>562</v>
      </c>
    </row>
    <row r="2588" ht="15.75">
      <c r="H2588" s="6" t="s">
        <v>769</v>
      </c>
    </row>
    <row r="2589" ht="15.75">
      <c r="H2589" s="6" t="s">
        <v>770</v>
      </c>
    </row>
    <row r="2590" ht="15.75">
      <c r="H2590" s="361" t="str">
        <f>H11</f>
        <v>                         Добровольский К.А.</v>
      </c>
    </row>
    <row r="2591" ht="15.75">
      <c r="H2591" s="6" t="s">
        <v>772</v>
      </c>
    </row>
    <row r="2592" ht="15.75">
      <c r="H2592" s="6" t="s">
        <v>567</v>
      </c>
    </row>
    <row r="2593" ht="15.75">
      <c r="A2593" s="362"/>
    </row>
    <row r="2594" ht="15.75">
      <c r="A2594" s="3" t="s">
        <v>311</v>
      </c>
    </row>
    <row r="2595" spans="1:8" ht="18.75" customHeight="1">
      <c r="A2595" s="623" t="s">
        <v>120</v>
      </c>
      <c r="B2595" s="623"/>
      <c r="C2595" s="623"/>
      <c r="D2595" s="623"/>
      <c r="E2595" s="623"/>
      <c r="F2595" s="623"/>
      <c r="G2595" s="623"/>
      <c r="H2595" s="623"/>
    </row>
    <row r="2596" spans="1:8" ht="15.75">
      <c r="A2596" s="364"/>
      <c r="B2596" s="364"/>
      <c r="C2596" s="366"/>
      <c r="D2596" s="366"/>
      <c r="E2596" s="366"/>
      <c r="F2596" s="366"/>
      <c r="G2596" s="366"/>
      <c r="H2596" s="366"/>
    </row>
    <row r="2597" spans="1:8" ht="16.5" customHeight="1">
      <c r="A2597" s="581" t="s">
        <v>121</v>
      </c>
      <c r="B2597" s="559" t="s">
        <v>122</v>
      </c>
      <c r="C2597" s="560" t="s">
        <v>123</v>
      </c>
      <c r="D2597" s="560"/>
      <c r="E2597" s="560"/>
      <c r="F2597" s="560"/>
      <c r="G2597" s="561" t="s">
        <v>124</v>
      </c>
      <c r="H2597" s="581" t="s">
        <v>125</v>
      </c>
    </row>
    <row r="2598" spans="1:8" ht="15.75">
      <c r="A2598" s="581"/>
      <c r="B2598" s="559"/>
      <c r="C2598" s="560"/>
      <c r="D2598" s="560"/>
      <c r="E2598" s="560"/>
      <c r="F2598" s="560"/>
      <c r="G2598" s="561"/>
      <c r="H2598" s="581"/>
    </row>
    <row r="2599" spans="1:8" ht="31.5">
      <c r="A2599" s="581"/>
      <c r="B2599" s="559"/>
      <c r="C2599" s="369" t="s">
        <v>126</v>
      </c>
      <c r="D2599" s="369" t="s">
        <v>127</v>
      </c>
      <c r="E2599" s="370" t="s">
        <v>126</v>
      </c>
      <c r="F2599" s="371" t="s">
        <v>127</v>
      </c>
      <c r="G2599" s="561"/>
      <c r="H2599" s="581"/>
    </row>
    <row r="2600" spans="1:8" ht="15.75">
      <c r="A2600" s="367">
        <v>1</v>
      </c>
      <c r="B2600" s="367">
        <v>2</v>
      </c>
      <c r="C2600" s="372">
        <v>3</v>
      </c>
      <c r="D2600" s="372">
        <v>4</v>
      </c>
      <c r="E2600" s="373"/>
      <c r="F2600" s="374"/>
      <c r="G2600" s="368">
        <v>5</v>
      </c>
      <c r="H2600" s="367">
        <v>6</v>
      </c>
    </row>
    <row r="2601" spans="1:8" ht="18.75" customHeight="1">
      <c r="A2601" s="375">
        <v>1</v>
      </c>
      <c r="B2601" s="582" t="s">
        <v>128</v>
      </c>
      <c r="C2601" s="582"/>
      <c r="D2601" s="582"/>
      <c r="E2601" s="582"/>
      <c r="F2601" s="582"/>
      <c r="G2601" s="582"/>
      <c r="H2601" s="582"/>
    </row>
    <row r="2602" spans="1:8" ht="15.75">
      <c r="A2602" s="376" t="s">
        <v>594</v>
      </c>
      <c r="B2602" s="377" t="s">
        <v>129</v>
      </c>
      <c r="C2602" s="378" t="s">
        <v>26</v>
      </c>
      <c r="D2602" s="378" t="s">
        <v>26</v>
      </c>
      <c r="E2602" s="378" t="s">
        <v>26</v>
      </c>
      <c r="F2602" s="378" t="s">
        <v>26</v>
      </c>
      <c r="G2602" s="378" t="s">
        <v>26</v>
      </c>
      <c r="H2602" s="379" t="s">
        <v>130</v>
      </c>
    </row>
    <row r="2603" spans="1:8" ht="15.75">
      <c r="A2603" s="376" t="s">
        <v>735</v>
      </c>
      <c r="B2603" s="377" t="s">
        <v>131</v>
      </c>
      <c r="C2603" s="378" t="s">
        <v>26</v>
      </c>
      <c r="D2603" s="378" t="s">
        <v>26</v>
      </c>
      <c r="E2603" s="378" t="s">
        <v>26</v>
      </c>
      <c r="F2603" s="378" t="s">
        <v>26</v>
      </c>
      <c r="G2603" s="378" t="s">
        <v>26</v>
      </c>
      <c r="H2603" s="379" t="s">
        <v>130</v>
      </c>
    </row>
    <row r="2604" spans="1:8" ht="31.5">
      <c r="A2604" s="376" t="s">
        <v>737</v>
      </c>
      <c r="B2604" s="381" t="s">
        <v>132</v>
      </c>
      <c r="C2604" s="566" t="s">
        <v>101</v>
      </c>
      <c r="D2604" s="566" t="s">
        <v>102</v>
      </c>
      <c r="E2604" s="378" t="s">
        <v>26</v>
      </c>
      <c r="F2604" s="378" t="s">
        <v>26</v>
      </c>
      <c r="G2604" s="378" t="s">
        <v>26</v>
      </c>
      <c r="H2604" s="379" t="s">
        <v>130</v>
      </c>
    </row>
    <row r="2605" spans="1:8" ht="47.25">
      <c r="A2605" s="376" t="s">
        <v>739</v>
      </c>
      <c r="B2605" s="381" t="s">
        <v>133</v>
      </c>
      <c r="C2605" s="566" t="s">
        <v>103</v>
      </c>
      <c r="D2605" s="566" t="s">
        <v>104</v>
      </c>
      <c r="E2605" s="378" t="s">
        <v>26</v>
      </c>
      <c r="F2605" s="378" t="s">
        <v>26</v>
      </c>
      <c r="G2605" s="378" t="s">
        <v>26</v>
      </c>
      <c r="H2605" s="379" t="s">
        <v>130</v>
      </c>
    </row>
    <row r="2606" spans="1:8" ht="15.75">
      <c r="A2606" s="376" t="s">
        <v>852</v>
      </c>
      <c r="B2606" s="382" t="s">
        <v>134</v>
      </c>
      <c r="C2606" s="566" t="s">
        <v>105</v>
      </c>
      <c r="D2606" s="566" t="s">
        <v>106</v>
      </c>
      <c r="E2606" s="378" t="s">
        <v>26</v>
      </c>
      <c r="F2606" s="378" t="s">
        <v>26</v>
      </c>
      <c r="G2606" s="378" t="s">
        <v>26</v>
      </c>
      <c r="H2606" s="379" t="s">
        <v>130</v>
      </c>
    </row>
    <row r="2607" spans="1:8" ht="15.75">
      <c r="A2607" s="376" t="s">
        <v>853</v>
      </c>
      <c r="B2607" s="382" t="s">
        <v>135</v>
      </c>
      <c r="C2607" s="566" t="s">
        <v>101</v>
      </c>
      <c r="D2607" s="566" t="s">
        <v>107</v>
      </c>
      <c r="E2607" s="378" t="s">
        <v>26</v>
      </c>
      <c r="F2607" s="378" t="s">
        <v>26</v>
      </c>
      <c r="G2607" s="378" t="s">
        <v>26</v>
      </c>
      <c r="H2607" s="379" t="s">
        <v>130</v>
      </c>
    </row>
    <row r="2608" spans="1:8" ht="18.75" customHeight="1">
      <c r="A2608" s="376">
        <v>2</v>
      </c>
      <c r="B2608" s="579" t="s">
        <v>136</v>
      </c>
      <c r="C2608" s="579"/>
      <c r="D2608" s="579"/>
      <c r="E2608" s="579"/>
      <c r="F2608" s="579"/>
      <c r="G2608" s="579"/>
      <c r="H2608" s="579"/>
    </row>
    <row r="2609" spans="1:8" ht="31.5">
      <c r="A2609" s="376" t="s">
        <v>743</v>
      </c>
      <c r="B2609" s="381" t="s">
        <v>137</v>
      </c>
      <c r="C2609" s="378" t="s">
        <v>299</v>
      </c>
      <c r="D2609" s="378" t="s">
        <v>300</v>
      </c>
      <c r="E2609" s="378" t="s">
        <v>26</v>
      </c>
      <c r="F2609" s="378" t="s">
        <v>26</v>
      </c>
      <c r="G2609" s="383">
        <v>0</v>
      </c>
      <c r="H2609" s="379"/>
    </row>
    <row r="2610" spans="1:8" ht="47.25">
      <c r="A2610" s="376" t="s">
        <v>746</v>
      </c>
      <c r="B2610" s="381" t="s">
        <v>140</v>
      </c>
      <c r="C2610" s="378" t="s">
        <v>26</v>
      </c>
      <c r="D2610" s="378" t="s">
        <v>26</v>
      </c>
      <c r="E2610" s="378" t="s">
        <v>26</v>
      </c>
      <c r="F2610" s="378" t="s">
        <v>26</v>
      </c>
      <c r="G2610" s="378" t="s">
        <v>26</v>
      </c>
      <c r="H2610" s="379" t="s">
        <v>130</v>
      </c>
    </row>
    <row r="2611" spans="1:8" ht="31.5">
      <c r="A2611" s="376" t="s">
        <v>141</v>
      </c>
      <c r="B2611" s="381" t="s">
        <v>142</v>
      </c>
      <c r="C2611" s="378" t="s">
        <v>26</v>
      </c>
      <c r="D2611" s="378" t="s">
        <v>26</v>
      </c>
      <c r="E2611" s="378" t="s">
        <v>26</v>
      </c>
      <c r="F2611" s="378" t="s">
        <v>26</v>
      </c>
      <c r="G2611" s="378" t="s">
        <v>26</v>
      </c>
      <c r="H2611" s="379" t="s">
        <v>130</v>
      </c>
    </row>
    <row r="2612" spans="1:8" ht="18.75" customHeight="1">
      <c r="A2612" s="376">
        <v>3</v>
      </c>
      <c r="B2612" s="579" t="s">
        <v>143</v>
      </c>
      <c r="C2612" s="579"/>
      <c r="D2612" s="579"/>
      <c r="E2612" s="579"/>
      <c r="F2612" s="579"/>
      <c r="G2612" s="579"/>
      <c r="H2612" s="579"/>
    </row>
    <row r="2613" spans="1:8" ht="31.5">
      <c r="A2613" s="376" t="s">
        <v>756</v>
      </c>
      <c r="B2613" s="382" t="s">
        <v>144</v>
      </c>
      <c r="C2613" s="378" t="s">
        <v>26</v>
      </c>
      <c r="D2613" s="378" t="s">
        <v>26</v>
      </c>
      <c r="E2613" s="378" t="s">
        <v>26</v>
      </c>
      <c r="F2613" s="378" t="s">
        <v>26</v>
      </c>
      <c r="G2613" s="378" t="s">
        <v>26</v>
      </c>
      <c r="H2613" s="379" t="s">
        <v>130</v>
      </c>
    </row>
    <row r="2614" spans="1:8" ht="15.75">
      <c r="A2614" s="376" t="s">
        <v>757</v>
      </c>
      <c r="B2614" s="382" t="s">
        <v>145</v>
      </c>
      <c r="C2614" s="378" t="s">
        <v>301</v>
      </c>
      <c r="D2614" s="378" t="s">
        <v>302</v>
      </c>
      <c r="E2614" s="378" t="s">
        <v>26</v>
      </c>
      <c r="F2614" s="378" t="s">
        <v>26</v>
      </c>
      <c r="G2614" s="383">
        <v>0</v>
      </c>
      <c r="H2614" s="379"/>
    </row>
    <row r="2615" spans="1:8" ht="15.75">
      <c r="A2615" s="376" t="s">
        <v>147</v>
      </c>
      <c r="B2615" s="382" t="s">
        <v>148</v>
      </c>
      <c r="C2615" s="378" t="s">
        <v>303</v>
      </c>
      <c r="D2615" s="378" t="s">
        <v>304</v>
      </c>
      <c r="E2615" s="378" t="s">
        <v>26</v>
      </c>
      <c r="F2615" s="378" t="s">
        <v>26</v>
      </c>
      <c r="G2615" s="383">
        <v>0</v>
      </c>
      <c r="H2615" s="379"/>
    </row>
    <row r="2616" spans="1:8" ht="15.75">
      <c r="A2616" s="376" t="s">
        <v>151</v>
      </c>
      <c r="B2616" s="382" t="s">
        <v>152</v>
      </c>
      <c r="C2616" s="378" t="s">
        <v>305</v>
      </c>
      <c r="D2616" s="378" t="s">
        <v>306</v>
      </c>
      <c r="E2616" s="378" t="s">
        <v>26</v>
      </c>
      <c r="F2616" s="378" t="s">
        <v>26</v>
      </c>
      <c r="G2616" s="383">
        <v>0</v>
      </c>
      <c r="H2616" s="379"/>
    </row>
    <row r="2617" spans="1:8" ht="15.75">
      <c r="A2617" s="376" t="s">
        <v>155</v>
      </c>
      <c r="B2617" s="382" t="s">
        <v>156</v>
      </c>
      <c r="C2617" s="378" t="s">
        <v>307</v>
      </c>
      <c r="D2617" s="378" t="s">
        <v>308</v>
      </c>
      <c r="E2617" s="378" t="s">
        <v>26</v>
      </c>
      <c r="F2617" s="378" t="s">
        <v>26</v>
      </c>
      <c r="G2617" s="383">
        <v>0</v>
      </c>
      <c r="H2617" s="379"/>
    </row>
    <row r="2618" spans="1:8" ht="18.75" customHeight="1">
      <c r="A2618" s="376">
        <v>4</v>
      </c>
      <c r="B2618" s="579" t="s">
        <v>159</v>
      </c>
      <c r="C2618" s="579"/>
      <c r="D2618" s="579"/>
      <c r="E2618" s="579"/>
      <c r="F2618" s="579"/>
      <c r="G2618" s="579"/>
      <c r="H2618" s="579"/>
    </row>
    <row r="2619" spans="1:8" ht="31.5">
      <c r="A2619" s="376" t="s">
        <v>160</v>
      </c>
      <c r="B2619" s="381" t="s">
        <v>161</v>
      </c>
      <c r="C2619" s="378" t="s">
        <v>26</v>
      </c>
      <c r="D2619" s="378" t="s">
        <v>26</v>
      </c>
      <c r="E2619" s="378" t="s">
        <v>26</v>
      </c>
      <c r="F2619" s="378" t="s">
        <v>26</v>
      </c>
      <c r="G2619" s="378" t="s">
        <v>26</v>
      </c>
      <c r="H2619" s="379" t="s">
        <v>130</v>
      </c>
    </row>
    <row r="2620" spans="1:8" ht="47.25">
      <c r="A2620" s="376" t="s">
        <v>162</v>
      </c>
      <c r="B2620" s="381" t="s">
        <v>163</v>
      </c>
      <c r="C2620" s="378" t="s">
        <v>26</v>
      </c>
      <c r="D2620" s="378" t="s">
        <v>26</v>
      </c>
      <c r="E2620" s="378" t="s">
        <v>26</v>
      </c>
      <c r="F2620" s="378" t="s">
        <v>26</v>
      </c>
      <c r="G2620" s="378" t="s">
        <v>26</v>
      </c>
      <c r="H2620" s="379" t="s">
        <v>130</v>
      </c>
    </row>
    <row r="2621" spans="1:8" ht="31.5">
      <c r="A2621" s="376" t="s">
        <v>164</v>
      </c>
      <c r="B2621" s="382" t="s">
        <v>165</v>
      </c>
      <c r="C2621" s="378" t="s">
        <v>26</v>
      </c>
      <c r="D2621" s="378" t="s">
        <v>26</v>
      </c>
      <c r="E2621" s="378" t="s">
        <v>26</v>
      </c>
      <c r="F2621" s="378" t="s">
        <v>26</v>
      </c>
      <c r="G2621" s="378" t="s">
        <v>26</v>
      </c>
      <c r="H2621" s="379" t="s">
        <v>130</v>
      </c>
    </row>
    <row r="2622" spans="1:8" ht="31.5">
      <c r="A2622" s="384" t="s">
        <v>166</v>
      </c>
      <c r="B2622" s="385" t="s">
        <v>167</v>
      </c>
      <c r="C2622" s="386" t="s">
        <v>26</v>
      </c>
      <c r="D2622" s="386" t="s">
        <v>26</v>
      </c>
      <c r="E2622" s="386" t="s">
        <v>26</v>
      </c>
      <c r="F2622" s="386" t="s">
        <v>26</v>
      </c>
      <c r="G2622" s="386" t="s">
        <v>26</v>
      </c>
      <c r="H2622" s="387" t="s">
        <v>130</v>
      </c>
    </row>
    <row r="2623" spans="1:8" ht="15.75">
      <c r="A2623" s="388"/>
      <c r="B2623" s="389"/>
      <c r="C2623" s="390"/>
      <c r="D2623" s="390"/>
      <c r="E2623" s="390"/>
      <c r="F2623" s="390"/>
      <c r="G2623" s="390"/>
      <c r="H2623" s="98"/>
    </row>
    <row r="2624" spans="1:8" ht="18.75" customHeight="1">
      <c r="A2624" s="580" t="s">
        <v>168</v>
      </c>
      <c r="B2624" s="580"/>
      <c r="C2624" s="580"/>
      <c r="D2624" s="580"/>
      <c r="E2624" s="580"/>
      <c r="F2624" s="580"/>
      <c r="G2624" s="580"/>
      <c r="H2624" s="580"/>
    </row>
    <row r="2627" ht="15.75">
      <c r="H2627" s="6" t="s">
        <v>113</v>
      </c>
    </row>
    <row r="2628" ht="15.75">
      <c r="H2628" s="6" t="s">
        <v>114</v>
      </c>
    </row>
    <row r="2629" ht="15.75">
      <c r="H2629" s="6" t="s">
        <v>115</v>
      </c>
    </row>
    <row r="2630" ht="15.75">
      <c r="H2630" s="6"/>
    </row>
    <row r="2631" spans="1:8" ht="18.75" customHeight="1">
      <c r="A2631" s="622" t="s">
        <v>116</v>
      </c>
      <c r="B2631" s="622"/>
      <c r="C2631" s="622"/>
      <c r="D2631" s="622"/>
      <c r="E2631" s="622"/>
      <c r="F2631" s="622"/>
      <c r="G2631" s="622"/>
      <c r="H2631" s="622"/>
    </row>
    <row r="2632" spans="1:8" ht="18.75" customHeight="1">
      <c r="A2632" s="622" t="s">
        <v>117</v>
      </c>
      <c r="B2632" s="622"/>
      <c r="C2632" s="622"/>
      <c r="D2632" s="622"/>
      <c r="E2632" s="622"/>
      <c r="F2632" s="622"/>
      <c r="G2632" s="622"/>
      <c r="H2632" s="622"/>
    </row>
    <row r="2633" ht="15.75">
      <c r="H2633" s="6" t="s">
        <v>562</v>
      </c>
    </row>
    <row r="2634" ht="15.75">
      <c r="H2634" s="6" t="s">
        <v>769</v>
      </c>
    </row>
    <row r="2635" ht="15.75">
      <c r="H2635" s="6" t="s">
        <v>770</v>
      </c>
    </row>
    <row r="2636" ht="15.75">
      <c r="H2636" s="361" t="str">
        <f>H11</f>
        <v>                         Добровольский К.А.</v>
      </c>
    </row>
    <row r="2637" ht="15.75">
      <c r="H2637" s="6" t="s">
        <v>772</v>
      </c>
    </row>
    <row r="2638" ht="15.75">
      <c r="H2638" s="6" t="s">
        <v>567</v>
      </c>
    </row>
    <row r="2639" ht="15.75">
      <c r="A2639" s="362"/>
    </row>
    <row r="2640" ht="15.75">
      <c r="A2640" s="3" t="s">
        <v>312</v>
      </c>
    </row>
    <row r="2641" spans="1:8" ht="18.75" customHeight="1">
      <c r="A2641" s="623" t="s">
        <v>120</v>
      </c>
      <c r="B2641" s="623"/>
      <c r="C2641" s="623"/>
      <c r="D2641" s="623"/>
      <c r="E2641" s="623"/>
      <c r="F2641" s="623"/>
      <c r="G2641" s="623"/>
      <c r="H2641" s="623"/>
    </row>
    <row r="2642" spans="1:8" ht="15.75">
      <c r="A2642" s="364"/>
      <c r="B2642" s="364"/>
      <c r="C2642" s="366"/>
      <c r="D2642" s="366"/>
      <c r="E2642" s="366"/>
      <c r="F2642" s="366"/>
      <c r="G2642" s="366"/>
      <c r="H2642" s="366"/>
    </row>
    <row r="2643" spans="1:8" ht="16.5" customHeight="1">
      <c r="A2643" s="581" t="s">
        <v>121</v>
      </c>
      <c r="B2643" s="559" t="s">
        <v>122</v>
      </c>
      <c r="C2643" s="560" t="s">
        <v>123</v>
      </c>
      <c r="D2643" s="560"/>
      <c r="E2643" s="560"/>
      <c r="F2643" s="560"/>
      <c r="G2643" s="561" t="s">
        <v>124</v>
      </c>
      <c r="H2643" s="581" t="s">
        <v>125</v>
      </c>
    </row>
    <row r="2644" spans="1:8" ht="15.75">
      <c r="A2644" s="581"/>
      <c r="B2644" s="559"/>
      <c r="C2644" s="560"/>
      <c r="D2644" s="560"/>
      <c r="E2644" s="560"/>
      <c r="F2644" s="560"/>
      <c r="G2644" s="561"/>
      <c r="H2644" s="581"/>
    </row>
    <row r="2645" spans="1:8" ht="31.5">
      <c r="A2645" s="581"/>
      <c r="B2645" s="559"/>
      <c r="C2645" s="369" t="s">
        <v>126</v>
      </c>
      <c r="D2645" s="369" t="s">
        <v>127</v>
      </c>
      <c r="E2645" s="370" t="s">
        <v>126</v>
      </c>
      <c r="F2645" s="371" t="s">
        <v>127</v>
      </c>
      <c r="G2645" s="561"/>
      <c r="H2645" s="581"/>
    </row>
    <row r="2646" spans="1:8" ht="15.75">
      <c r="A2646" s="367">
        <v>1</v>
      </c>
      <c r="B2646" s="367">
        <v>2</v>
      </c>
      <c r="C2646" s="372">
        <v>3</v>
      </c>
      <c r="D2646" s="372">
        <v>4</v>
      </c>
      <c r="E2646" s="373"/>
      <c r="F2646" s="374"/>
      <c r="G2646" s="368">
        <v>5</v>
      </c>
      <c r="H2646" s="367">
        <v>6</v>
      </c>
    </row>
    <row r="2647" spans="1:8" ht="18.75" customHeight="1">
      <c r="A2647" s="375">
        <v>1</v>
      </c>
      <c r="B2647" s="582" t="s">
        <v>128</v>
      </c>
      <c r="C2647" s="582"/>
      <c r="D2647" s="582"/>
      <c r="E2647" s="582"/>
      <c r="F2647" s="582"/>
      <c r="G2647" s="582"/>
      <c r="H2647" s="582"/>
    </row>
    <row r="2648" spans="1:8" ht="15.75">
      <c r="A2648" s="376" t="s">
        <v>594</v>
      </c>
      <c r="B2648" s="377" t="s">
        <v>129</v>
      </c>
      <c r="C2648" s="378" t="s">
        <v>26</v>
      </c>
      <c r="D2648" s="378" t="s">
        <v>26</v>
      </c>
      <c r="E2648" s="378" t="s">
        <v>26</v>
      </c>
      <c r="F2648" s="378" t="s">
        <v>26</v>
      </c>
      <c r="G2648" s="378" t="s">
        <v>26</v>
      </c>
      <c r="H2648" s="379" t="s">
        <v>130</v>
      </c>
    </row>
    <row r="2649" spans="1:8" ht="15.75">
      <c r="A2649" s="376" t="s">
        <v>735</v>
      </c>
      <c r="B2649" s="377" t="s">
        <v>131</v>
      </c>
      <c r="C2649" s="378" t="s">
        <v>26</v>
      </c>
      <c r="D2649" s="378" t="s">
        <v>26</v>
      </c>
      <c r="E2649" s="378" t="s">
        <v>26</v>
      </c>
      <c r="F2649" s="378" t="s">
        <v>26</v>
      </c>
      <c r="G2649" s="378" t="s">
        <v>26</v>
      </c>
      <c r="H2649" s="379" t="s">
        <v>130</v>
      </c>
    </row>
    <row r="2650" spans="1:8" ht="31.5">
      <c r="A2650" s="376" t="s">
        <v>737</v>
      </c>
      <c r="B2650" s="381" t="s">
        <v>132</v>
      </c>
      <c r="C2650" s="378" t="s">
        <v>26</v>
      </c>
      <c r="D2650" s="378" t="s">
        <v>26</v>
      </c>
      <c r="E2650" s="378" t="s">
        <v>26</v>
      </c>
      <c r="F2650" s="378" t="s">
        <v>26</v>
      </c>
      <c r="G2650" s="378" t="s">
        <v>26</v>
      </c>
      <c r="H2650" s="379" t="s">
        <v>130</v>
      </c>
    </row>
    <row r="2651" spans="1:8" ht="47.25">
      <c r="A2651" s="376" t="s">
        <v>739</v>
      </c>
      <c r="B2651" s="381" t="s">
        <v>133</v>
      </c>
      <c r="C2651" s="378" t="s">
        <v>26</v>
      </c>
      <c r="D2651" s="378" t="s">
        <v>26</v>
      </c>
      <c r="E2651" s="378" t="s">
        <v>26</v>
      </c>
      <c r="F2651" s="378" t="s">
        <v>26</v>
      </c>
      <c r="G2651" s="378" t="s">
        <v>26</v>
      </c>
      <c r="H2651" s="379" t="s">
        <v>130</v>
      </c>
    </row>
    <row r="2652" spans="1:8" ht="15.75">
      <c r="A2652" s="376" t="s">
        <v>852</v>
      </c>
      <c r="B2652" s="382" t="s">
        <v>134</v>
      </c>
      <c r="C2652" s="378" t="s">
        <v>26</v>
      </c>
      <c r="D2652" s="378" t="s">
        <v>26</v>
      </c>
      <c r="E2652" s="378" t="s">
        <v>26</v>
      </c>
      <c r="F2652" s="378" t="s">
        <v>26</v>
      </c>
      <c r="G2652" s="378" t="s">
        <v>26</v>
      </c>
      <c r="H2652" s="379" t="s">
        <v>130</v>
      </c>
    </row>
    <row r="2653" spans="1:8" ht="15.75">
      <c r="A2653" s="376" t="s">
        <v>853</v>
      </c>
      <c r="B2653" s="382" t="s">
        <v>135</v>
      </c>
      <c r="C2653" s="378" t="s">
        <v>26</v>
      </c>
      <c r="D2653" s="378" t="s">
        <v>26</v>
      </c>
      <c r="E2653" s="378" t="s">
        <v>26</v>
      </c>
      <c r="F2653" s="378" t="s">
        <v>26</v>
      </c>
      <c r="G2653" s="378" t="s">
        <v>26</v>
      </c>
      <c r="H2653" s="379" t="s">
        <v>130</v>
      </c>
    </row>
    <row r="2654" spans="1:8" ht="18.75" customHeight="1">
      <c r="A2654" s="376">
        <v>2</v>
      </c>
      <c r="B2654" s="579" t="s">
        <v>136</v>
      </c>
      <c r="C2654" s="579"/>
      <c r="D2654" s="579"/>
      <c r="E2654" s="579"/>
      <c r="F2654" s="579"/>
      <c r="G2654" s="579"/>
      <c r="H2654" s="579"/>
    </row>
    <row r="2655" spans="1:8" ht="31.5">
      <c r="A2655" s="376" t="s">
        <v>743</v>
      </c>
      <c r="B2655" s="381" t="s">
        <v>137</v>
      </c>
      <c r="C2655" s="378" t="s">
        <v>299</v>
      </c>
      <c r="D2655" s="378" t="s">
        <v>300</v>
      </c>
      <c r="E2655" s="378" t="s">
        <v>26</v>
      </c>
      <c r="F2655" s="378" t="s">
        <v>26</v>
      </c>
      <c r="G2655" s="383">
        <v>0</v>
      </c>
      <c r="H2655" s="379"/>
    </row>
    <row r="2656" spans="1:8" ht="47.25">
      <c r="A2656" s="376" t="s">
        <v>746</v>
      </c>
      <c r="B2656" s="381" t="s">
        <v>140</v>
      </c>
      <c r="C2656" s="378" t="s">
        <v>26</v>
      </c>
      <c r="D2656" s="378" t="s">
        <v>26</v>
      </c>
      <c r="E2656" s="378" t="s">
        <v>26</v>
      </c>
      <c r="F2656" s="378" t="s">
        <v>26</v>
      </c>
      <c r="G2656" s="378" t="s">
        <v>26</v>
      </c>
      <c r="H2656" s="379" t="s">
        <v>130</v>
      </c>
    </row>
    <row r="2657" spans="1:8" ht="31.5">
      <c r="A2657" s="376" t="s">
        <v>141</v>
      </c>
      <c r="B2657" s="381" t="s">
        <v>142</v>
      </c>
      <c r="C2657" s="378" t="s">
        <v>26</v>
      </c>
      <c r="D2657" s="378" t="s">
        <v>26</v>
      </c>
      <c r="E2657" s="378" t="s">
        <v>26</v>
      </c>
      <c r="F2657" s="378" t="s">
        <v>26</v>
      </c>
      <c r="G2657" s="378" t="s">
        <v>26</v>
      </c>
      <c r="H2657" s="379" t="s">
        <v>130</v>
      </c>
    </row>
    <row r="2658" spans="1:8" ht="18.75" customHeight="1">
      <c r="A2658" s="376">
        <v>3</v>
      </c>
      <c r="B2658" s="579" t="s">
        <v>143</v>
      </c>
      <c r="C2658" s="579"/>
      <c r="D2658" s="579"/>
      <c r="E2658" s="579"/>
      <c r="F2658" s="579"/>
      <c r="G2658" s="579"/>
      <c r="H2658" s="579"/>
    </row>
    <row r="2659" spans="1:8" ht="31.5">
      <c r="A2659" s="376" t="s">
        <v>756</v>
      </c>
      <c r="B2659" s="382" t="s">
        <v>144</v>
      </c>
      <c r="C2659" s="378" t="s">
        <v>26</v>
      </c>
      <c r="D2659" s="378" t="s">
        <v>26</v>
      </c>
      <c r="E2659" s="378" t="s">
        <v>26</v>
      </c>
      <c r="F2659" s="378" t="s">
        <v>26</v>
      </c>
      <c r="G2659" s="378" t="s">
        <v>26</v>
      </c>
      <c r="H2659" s="379" t="s">
        <v>130</v>
      </c>
    </row>
    <row r="2660" spans="1:8" ht="15.75">
      <c r="A2660" s="376" t="s">
        <v>757</v>
      </c>
      <c r="B2660" s="382" t="s">
        <v>145</v>
      </c>
      <c r="C2660" s="378" t="s">
        <v>301</v>
      </c>
      <c r="D2660" s="378" t="s">
        <v>302</v>
      </c>
      <c r="E2660" s="378" t="s">
        <v>26</v>
      </c>
      <c r="F2660" s="378" t="s">
        <v>26</v>
      </c>
      <c r="G2660" s="383">
        <v>0</v>
      </c>
      <c r="H2660" s="379"/>
    </row>
    <row r="2661" spans="1:8" ht="15.75">
      <c r="A2661" s="376" t="s">
        <v>147</v>
      </c>
      <c r="B2661" s="382" t="s">
        <v>148</v>
      </c>
      <c r="C2661" s="378" t="s">
        <v>303</v>
      </c>
      <c r="D2661" s="378" t="s">
        <v>304</v>
      </c>
      <c r="E2661" s="378" t="s">
        <v>26</v>
      </c>
      <c r="F2661" s="378" t="s">
        <v>26</v>
      </c>
      <c r="G2661" s="383">
        <v>0</v>
      </c>
      <c r="H2661" s="379"/>
    </row>
    <row r="2662" spans="1:8" ht="15.75">
      <c r="A2662" s="376" t="s">
        <v>151</v>
      </c>
      <c r="B2662" s="382" t="s">
        <v>152</v>
      </c>
      <c r="C2662" s="378" t="s">
        <v>305</v>
      </c>
      <c r="D2662" s="378" t="s">
        <v>306</v>
      </c>
      <c r="E2662" s="378" t="s">
        <v>26</v>
      </c>
      <c r="F2662" s="378" t="s">
        <v>26</v>
      </c>
      <c r="G2662" s="383">
        <v>0</v>
      </c>
      <c r="H2662" s="379"/>
    </row>
    <row r="2663" spans="1:8" ht="15.75">
      <c r="A2663" s="376" t="s">
        <v>155</v>
      </c>
      <c r="B2663" s="382" t="s">
        <v>156</v>
      </c>
      <c r="C2663" s="378" t="s">
        <v>307</v>
      </c>
      <c r="D2663" s="378" t="s">
        <v>308</v>
      </c>
      <c r="E2663" s="378" t="s">
        <v>26</v>
      </c>
      <c r="F2663" s="378" t="s">
        <v>26</v>
      </c>
      <c r="G2663" s="383">
        <v>0</v>
      </c>
      <c r="H2663" s="379"/>
    </row>
    <row r="2664" spans="1:8" ht="18.75" customHeight="1">
      <c r="A2664" s="376">
        <v>4</v>
      </c>
      <c r="B2664" s="579" t="s">
        <v>159</v>
      </c>
      <c r="C2664" s="579"/>
      <c r="D2664" s="579"/>
      <c r="E2664" s="579"/>
      <c r="F2664" s="579"/>
      <c r="G2664" s="579"/>
      <c r="H2664" s="579"/>
    </row>
    <row r="2665" spans="1:8" ht="31.5">
      <c r="A2665" s="376" t="s">
        <v>160</v>
      </c>
      <c r="B2665" s="381" t="s">
        <v>161</v>
      </c>
      <c r="C2665" s="378" t="s">
        <v>26</v>
      </c>
      <c r="D2665" s="378" t="s">
        <v>26</v>
      </c>
      <c r="E2665" s="378" t="s">
        <v>26</v>
      </c>
      <c r="F2665" s="378" t="s">
        <v>26</v>
      </c>
      <c r="G2665" s="378" t="s">
        <v>26</v>
      </c>
      <c r="H2665" s="379" t="s">
        <v>130</v>
      </c>
    </row>
    <row r="2666" spans="1:8" ht="47.25">
      <c r="A2666" s="376" t="s">
        <v>162</v>
      </c>
      <c r="B2666" s="381" t="s">
        <v>163</v>
      </c>
      <c r="C2666" s="378" t="s">
        <v>26</v>
      </c>
      <c r="D2666" s="378" t="s">
        <v>26</v>
      </c>
      <c r="E2666" s="378" t="s">
        <v>26</v>
      </c>
      <c r="F2666" s="378" t="s">
        <v>26</v>
      </c>
      <c r="G2666" s="378" t="s">
        <v>26</v>
      </c>
      <c r="H2666" s="379" t="s">
        <v>130</v>
      </c>
    </row>
    <row r="2667" spans="1:8" ht="31.5">
      <c r="A2667" s="376" t="s">
        <v>164</v>
      </c>
      <c r="B2667" s="382" t="s">
        <v>165</v>
      </c>
      <c r="C2667" s="378" t="s">
        <v>26</v>
      </c>
      <c r="D2667" s="378" t="s">
        <v>26</v>
      </c>
      <c r="E2667" s="378" t="s">
        <v>26</v>
      </c>
      <c r="F2667" s="378" t="s">
        <v>26</v>
      </c>
      <c r="G2667" s="378" t="s">
        <v>26</v>
      </c>
      <c r="H2667" s="379" t="s">
        <v>130</v>
      </c>
    </row>
    <row r="2668" spans="1:8" ht="31.5">
      <c r="A2668" s="384" t="s">
        <v>166</v>
      </c>
      <c r="B2668" s="385" t="s">
        <v>167</v>
      </c>
      <c r="C2668" s="386" t="s">
        <v>26</v>
      </c>
      <c r="D2668" s="386" t="s">
        <v>26</v>
      </c>
      <c r="E2668" s="386" t="s">
        <v>26</v>
      </c>
      <c r="F2668" s="386" t="s">
        <v>26</v>
      </c>
      <c r="G2668" s="386" t="s">
        <v>26</v>
      </c>
      <c r="H2668" s="387" t="s">
        <v>130</v>
      </c>
    </row>
    <row r="2669" spans="1:8" ht="15.75">
      <c r="A2669" s="388"/>
      <c r="B2669" s="389"/>
      <c r="C2669" s="390"/>
      <c r="D2669" s="390"/>
      <c r="E2669" s="390"/>
      <c r="F2669" s="390"/>
      <c r="G2669" s="390"/>
      <c r="H2669" s="98"/>
    </row>
    <row r="2670" spans="1:8" ht="18.75" customHeight="1">
      <c r="A2670" s="580" t="s">
        <v>168</v>
      </c>
      <c r="B2670" s="580"/>
      <c r="C2670" s="580"/>
      <c r="D2670" s="580"/>
      <c r="E2670" s="580"/>
      <c r="F2670" s="580"/>
      <c r="G2670" s="580"/>
      <c r="H2670" s="580"/>
    </row>
    <row r="2673" ht="15.75">
      <c r="H2673" s="6" t="s">
        <v>113</v>
      </c>
    </row>
    <row r="2674" ht="15.75">
      <c r="H2674" s="6" t="s">
        <v>114</v>
      </c>
    </row>
    <row r="2675" ht="15.75">
      <c r="H2675" s="6" t="s">
        <v>115</v>
      </c>
    </row>
    <row r="2676" ht="15.75">
      <c r="H2676" s="6"/>
    </row>
    <row r="2677" spans="1:8" ht="18.75" customHeight="1">
      <c r="A2677" s="622" t="s">
        <v>116</v>
      </c>
      <c r="B2677" s="622"/>
      <c r="C2677" s="622"/>
      <c r="D2677" s="622"/>
      <c r="E2677" s="622"/>
      <c r="F2677" s="622"/>
      <c r="G2677" s="622"/>
      <c r="H2677" s="622"/>
    </row>
    <row r="2678" spans="1:8" ht="18.75" customHeight="1">
      <c r="A2678" s="622" t="s">
        <v>117</v>
      </c>
      <c r="B2678" s="622"/>
      <c r="C2678" s="622"/>
      <c r="D2678" s="622"/>
      <c r="E2678" s="622"/>
      <c r="F2678" s="622"/>
      <c r="G2678" s="622"/>
      <c r="H2678" s="622"/>
    </row>
    <row r="2679" ht="15.75">
      <c r="H2679" s="6" t="s">
        <v>562</v>
      </c>
    </row>
    <row r="2680" ht="15.75">
      <c r="H2680" s="6" t="s">
        <v>769</v>
      </c>
    </row>
    <row r="2681" ht="15.75">
      <c r="H2681" s="6" t="s">
        <v>770</v>
      </c>
    </row>
    <row r="2682" ht="15.75">
      <c r="H2682" s="361" t="str">
        <f>H11</f>
        <v>                         Добровольский К.А.</v>
      </c>
    </row>
    <row r="2683" ht="15.75">
      <c r="H2683" s="6" t="s">
        <v>772</v>
      </c>
    </row>
    <row r="2684" ht="15.75">
      <c r="H2684" s="6" t="s">
        <v>567</v>
      </c>
    </row>
    <row r="2685" ht="15.75">
      <c r="A2685" s="362"/>
    </row>
    <row r="2686" ht="15.75">
      <c r="A2686" s="3" t="s">
        <v>313</v>
      </c>
    </row>
    <row r="2687" spans="1:8" ht="18.75" customHeight="1">
      <c r="A2687" s="623" t="s">
        <v>120</v>
      </c>
      <c r="B2687" s="623"/>
      <c r="C2687" s="623"/>
      <c r="D2687" s="623"/>
      <c r="E2687" s="623"/>
      <c r="F2687" s="623"/>
      <c r="G2687" s="623"/>
      <c r="H2687" s="623"/>
    </row>
    <row r="2688" spans="1:8" ht="15.75">
      <c r="A2688" s="364"/>
      <c r="B2688" s="364"/>
      <c r="C2688" s="366"/>
      <c r="D2688" s="366"/>
      <c r="E2688" s="366"/>
      <c r="F2688" s="366"/>
      <c r="G2688" s="366"/>
      <c r="H2688" s="366"/>
    </row>
    <row r="2689" spans="1:8" ht="16.5" customHeight="1">
      <c r="A2689" s="581" t="s">
        <v>121</v>
      </c>
      <c r="B2689" s="559" t="s">
        <v>122</v>
      </c>
      <c r="C2689" s="560" t="s">
        <v>123</v>
      </c>
      <c r="D2689" s="560"/>
      <c r="E2689" s="560"/>
      <c r="F2689" s="560"/>
      <c r="G2689" s="561" t="s">
        <v>124</v>
      </c>
      <c r="H2689" s="581" t="s">
        <v>125</v>
      </c>
    </row>
    <row r="2690" spans="1:8" ht="15.75">
      <c r="A2690" s="581"/>
      <c r="B2690" s="559"/>
      <c r="C2690" s="560"/>
      <c r="D2690" s="560"/>
      <c r="E2690" s="560"/>
      <c r="F2690" s="560"/>
      <c r="G2690" s="561"/>
      <c r="H2690" s="581"/>
    </row>
    <row r="2691" spans="1:8" ht="31.5">
      <c r="A2691" s="581"/>
      <c r="B2691" s="559"/>
      <c r="C2691" s="369" t="s">
        <v>126</v>
      </c>
      <c r="D2691" s="369" t="s">
        <v>127</v>
      </c>
      <c r="E2691" s="370" t="s">
        <v>126</v>
      </c>
      <c r="F2691" s="371" t="s">
        <v>127</v>
      </c>
      <c r="G2691" s="561"/>
      <c r="H2691" s="581"/>
    </row>
    <row r="2692" spans="1:8" ht="15.75">
      <c r="A2692" s="367">
        <v>1</v>
      </c>
      <c r="B2692" s="367">
        <v>2</v>
      </c>
      <c r="C2692" s="372">
        <v>3</v>
      </c>
      <c r="D2692" s="372">
        <v>4</v>
      </c>
      <c r="E2692" s="373"/>
      <c r="F2692" s="374"/>
      <c r="G2692" s="368">
        <v>5</v>
      </c>
      <c r="H2692" s="367">
        <v>6</v>
      </c>
    </row>
    <row r="2693" spans="1:8" ht="18.75" customHeight="1">
      <c r="A2693" s="375">
        <v>1</v>
      </c>
      <c r="B2693" s="582" t="s">
        <v>128</v>
      </c>
      <c r="C2693" s="582"/>
      <c r="D2693" s="582"/>
      <c r="E2693" s="582"/>
      <c r="F2693" s="582"/>
      <c r="G2693" s="582"/>
      <c r="H2693" s="582"/>
    </row>
    <row r="2694" spans="1:8" ht="15.75">
      <c r="A2694" s="376" t="s">
        <v>594</v>
      </c>
      <c r="B2694" s="377" t="s">
        <v>129</v>
      </c>
      <c r="C2694" s="378" t="s">
        <v>26</v>
      </c>
      <c r="D2694" s="378" t="s">
        <v>26</v>
      </c>
      <c r="E2694" s="378" t="s">
        <v>26</v>
      </c>
      <c r="F2694" s="378" t="s">
        <v>26</v>
      </c>
      <c r="G2694" s="378" t="s">
        <v>26</v>
      </c>
      <c r="H2694" s="379" t="s">
        <v>130</v>
      </c>
    </row>
    <row r="2695" spans="1:8" ht="15.75">
      <c r="A2695" s="376" t="s">
        <v>735</v>
      </c>
      <c r="B2695" s="377" t="s">
        <v>131</v>
      </c>
      <c r="C2695" s="378" t="s">
        <v>26</v>
      </c>
      <c r="D2695" s="378" t="s">
        <v>26</v>
      </c>
      <c r="E2695" s="378" t="s">
        <v>26</v>
      </c>
      <c r="F2695" s="378" t="s">
        <v>26</v>
      </c>
      <c r="G2695" s="378" t="s">
        <v>26</v>
      </c>
      <c r="H2695" s="379" t="s">
        <v>130</v>
      </c>
    </row>
    <row r="2696" spans="1:8" ht="31.5">
      <c r="A2696" s="376" t="s">
        <v>737</v>
      </c>
      <c r="B2696" s="381" t="s">
        <v>132</v>
      </c>
      <c r="C2696" s="378" t="s">
        <v>26</v>
      </c>
      <c r="D2696" s="378" t="s">
        <v>26</v>
      </c>
      <c r="E2696" s="378" t="s">
        <v>26</v>
      </c>
      <c r="F2696" s="378" t="s">
        <v>26</v>
      </c>
      <c r="G2696" s="378" t="s">
        <v>26</v>
      </c>
      <c r="H2696" s="379" t="s">
        <v>130</v>
      </c>
    </row>
    <row r="2697" spans="1:8" ht="47.25">
      <c r="A2697" s="376" t="s">
        <v>739</v>
      </c>
      <c r="B2697" s="381" t="s">
        <v>133</v>
      </c>
      <c r="C2697" s="378" t="s">
        <v>26</v>
      </c>
      <c r="D2697" s="378" t="s">
        <v>26</v>
      </c>
      <c r="E2697" s="378" t="s">
        <v>26</v>
      </c>
      <c r="F2697" s="378" t="s">
        <v>26</v>
      </c>
      <c r="G2697" s="378" t="s">
        <v>26</v>
      </c>
      <c r="H2697" s="379" t="s">
        <v>130</v>
      </c>
    </row>
    <row r="2698" spans="1:8" ht="15.75">
      <c r="A2698" s="376" t="s">
        <v>852</v>
      </c>
      <c r="B2698" s="382" t="s">
        <v>134</v>
      </c>
      <c r="C2698" s="378" t="s">
        <v>26</v>
      </c>
      <c r="D2698" s="378" t="s">
        <v>26</v>
      </c>
      <c r="E2698" s="378" t="s">
        <v>26</v>
      </c>
      <c r="F2698" s="378" t="s">
        <v>26</v>
      </c>
      <c r="G2698" s="378" t="s">
        <v>26</v>
      </c>
      <c r="H2698" s="379" t="s">
        <v>130</v>
      </c>
    </row>
    <row r="2699" spans="1:8" ht="15.75">
      <c r="A2699" s="376" t="s">
        <v>853</v>
      </c>
      <c r="B2699" s="382" t="s">
        <v>135</v>
      </c>
      <c r="C2699" s="378" t="s">
        <v>26</v>
      </c>
      <c r="D2699" s="378" t="s">
        <v>26</v>
      </c>
      <c r="E2699" s="378" t="s">
        <v>26</v>
      </c>
      <c r="F2699" s="378" t="s">
        <v>26</v>
      </c>
      <c r="G2699" s="378" t="s">
        <v>26</v>
      </c>
      <c r="H2699" s="379" t="s">
        <v>130</v>
      </c>
    </row>
    <row r="2700" spans="1:8" ht="18.75" customHeight="1">
      <c r="A2700" s="376">
        <v>2</v>
      </c>
      <c r="B2700" s="579" t="s">
        <v>136</v>
      </c>
      <c r="C2700" s="579"/>
      <c r="D2700" s="579"/>
      <c r="E2700" s="579"/>
      <c r="F2700" s="579"/>
      <c r="G2700" s="579"/>
      <c r="H2700" s="579"/>
    </row>
    <row r="2701" spans="1:8" ht="31.5">
      <c r="A2701" s="376" t="s">
        <v>743</v>
      </c>
      <c r="B2701" s="381" t="s">
        <v>137</v>
      </c>
      <c r="C2701" s="378" t="s">
        <v>299</v>
      </c>
      <c r="D2701" s="378" t="s">
        <v>300</v>
      </c>
      <c r="E2701" s="378" t="s">
        <v>26</v>
      </c>
      <c r="F2701" s="378" t="s">
        <v>26</v>
      </c>
      <c r="G2701" s="383">
        <v>0</v>
      </c>
      <c r="H2701" s="379"/>
    </row>
    <row r="2702" spans="1:8" ht="47.25">
      <c r="A2702" s="376" t="s">
        <v>746</v>
      </c>
      <c r="B2702" s="381" t="s">
        <v>140</v>
      </c>
      <c r="C2702" s="378" t="s">
        <v>26</v>
      </c>
      <c r="D2702" s="378" t="s">
        <v>26</v>
      </c>
      <c r="E2702" s="378" t="s">
        <v>26</v>
      </c>
      <c r="F2702" s="378" t="s">
        <v>26</v>
      </c>
      <c r="G2702" s="378" t="s">
        <v>26</v>
      </c>
      <c r="H2702" s="379" t="s">
        <v>130</v>
      </c>
    </row>
    <row r="2703" spans="1:8" ht="31.5">
      <c r="A2703" s="376" t="s">
        <v>141</v>
      </c>
      <c r="B2703" s="381" t="s">
        <v>142</v>
      </c>
      <c r="C2703" s="378" t="s">
        <v>26</v>
      </c>
      <c r="D2703" s="378" t="s">
        <v>26</v>
      </c>
      <c r="E2703" s="378" t="s">
        <v>26</v>
      </c>
      <c r="F2703" s="378" t="s">
        <v>26</v>
      </c>
      <c r="G2703" s="378" t="s">
        <v>26</v>
      </c>
      <c r="H2703" s="379" t="s">
        <v>130</v>
      </c>
    </row>
    <row r="2704" spans="1:8" ht="18.75" customHeight="1">
      <c r="A2704" s="376">
        <v>3</v>
      </c>
      <c r="B2704" s="579" t="s">
        <v>143</v>
      </c>
      <c r="C2704" s="579"/>
      <c r="D2704" s="579"/>
      <c r="E2704" s="579"/>
      <c r="F2704" s="579"/>
      <c r="G2704" s="579"/>
      <c r="H2704" s="579"/>
    </row>
    <row r="2705" spans="1:8" ht="31.5">
      <c r="A2705" s="376" t="s">
        <v>756</v>
      </c>
      <c r="B2705" s="382" t="s">
        <v>144</v>
      </c>
      <c r="C2705" s="378" t="s">
        <v>26</v>
      </c>
      <c r="D2705" s="378" t="s">
        <v>26</v>
      </c>
      <c r="E2705" s="378" t="s">
        <v>26</v>
      </c>
      <c r="F2705" s="378" t="s">
        <v>26</v>
      </c>
      <c r="G2705" s="378" t="s">
        <v>26</v>
      </c>
      <c r="H2705" s="379" t="s">
        <v>130</v>
      </c>
    </row>
    <row r="2706" spans="1:8" ht="15.75">
      <c r="A2706" s="376" t="s">
        <v>757</v>
      </c>
      <c r="B2706" s="382" t="s">
        <v>145</v>
      </c>
      <c r="C2706" s="378" t="s">
        <v>301</v>
      </c>
      <c r="D2706" s="378" t="s">
        <v>302</v>
      </c>
      <c r="E2706" s="378" t="s">
        <v>26</v>
      </c>
      <c r="F2706" s="378" t="s">
        <v>26</v>
      </c>
      <c r="G2706" s="383">
        <v>0</v>
      </c>
      <c r="H2706" s="379"/>
    </row>
    <row r="2707" spans="1:8" ht="15.75">
      <c r="A2707" s="376" t="s">
        <v>147</v>
      </c>
      <c r="B2707" s="382" t="s">
        <v>148</v>
      </c>
      <c r="C2707" s="378" t="s">
        <v>303</v>
      </c>
      <c r="D2707" s="378" t="s">
        <v>304</v>
      </c>
      <c r="E2707" s="378" t="s">
        <v>26</v>
      </c>
      <c r="F2707" s="378" t="s">
        <v>26</v>
      </c>
      <c r="G2707" s="383">
        <v>0</v>
      </c>
      <c r="H2707" s="379"/>
    </row>
    <row r="2708" spans="1:8" ht="15.75">
      <c r="A2708" s="376" t="s">
        <v>151</v>
      </c>
      <c r="B2708" s="382" t="s">
        <v>152</v>
      </c>
      <c r="C2708" s="378" t="s">
        <v>305</v>
      </c>
      <c r="D2708" s="378" t="s">
        <v>306</v>
      </c>
      <c r="E2708" s="378" t="s">
        <v>26</v>
      </c>
      <c r="F2708" s="378" t="s">
        <v>26</v>
      </c>
      <c r="G2708" s="383">
        <v>0</v>
      </c>
      <c r="H2708" s="379"/>
    </row>
    <row r="2709" spans="1:8" ht="15.75">
      <c r="A2709" s="376" t="s">
        <v>155</v>
      </c>
      <c r="B2709" s="382" t="s">
        <v>156</v>
      </c>
      <c r="C2709" s="378" t="s">
        <v>307</v>
      </c>
      <c r="D2709" s="378" t="s">
        <v>308</v>
      </c>
      <c r="E2709" s="378" t="s">
        <v>26</v>
      </c>
      <c r="F2709" s="378" t="s">
        <v>26</v>
      </c>
      <c r="G2709" s="383">
        <v>0</v>
      </c>
      <c r="H2709" s="379"/>
    </row>
    <row r="2710" spans="1:8" ht="18.75" customHeight="1">
      <c r="A2710" s="376">
        <v>4</v>
      </c>
      <c r="B2710" s="579" t="s">
        <v>159</v>
      </c>
      <c r="C2710" s="579"/>
      <c r="D2710" s="579"/>
      <c r="E2710" s="579"/>
      <c r="F2710" s="579"/>
      <c r="G2710" s="579"/>
      <c r="H2710" s="579"/>
    </row>
    <row r="2711" spans="1:8" ht="31.5">
      <c r="A2711" s="376" t="s">
        <v>160</v>
      </c>
      <c r="B2711" s="381" t="s">
        <v>161</v>
      </c>
      <c r="C2711" s="378" t="s">
        <v>26</v>
      </c>
      <c r="D2711" s="378" t="s">
        <v>26</v>
      </c>
      <c r="E2711" s="378" t="s">
        <v>26</v>
      </c>
      <c r="F2711" s="378" t="s">
        <v>26</v>
      </c>
      <c r="G2711" s="378" t="s">
        <v>26</v>
      </c>
      <c r="H2711" s="379" t="s">
        <v>130</v>
      </c>
    </row>
    <row r="2712" spans="1:8" ht="47.25">
      <c r="A2712" s="376" t="s">
        <v>162</v>
      </c>
      <c r="B2712" s="381" t="s">
        <v>163</v>
      </c>
      <c r="C2712" s="378" t="s">
        <v>26</v>
      </c>
      <c r="D2712" s="378" t="s">
        <v>26</v>
      </c>
      <c r="E2712" s="378" t="s">
        <v>26</v>
      </c>
      <c r="F2712" s="378" t="s">
        <v>26</v>
      </c>
      <c r="G2712" s="378" t="s">
        <v>26</v>
      </c>
      <c r="H2712" s="379" t="s">
        <v>130</v>
      </c>
    </row>
    <row r="2713" spans="1:8" ht="31.5">
      <c r="A2713" s="376" t="s">
        <v>164</v>
      </c>
      <c r="B2713" s="382" t="s">
        <v>165</v>
      </c>
      <c r="C2713" s="378" t="s">
        <v>26</v>
      </c>
      <c r="D2713" s="378" t="s">
        <v>26</v>
      </c>
      <c r="E2713" s="378" t="s">
        <v>26</v>
      </c>
      <c r="F2713" s="378" t="s">
        <v>26</v>
      </c>
      <c r="G2713" s="378" t="s">
        <v>26</v>
      </c>
      <c r="H2713" s="379" t="s">
        <v>130</v>
      </c>
    </row>
    <row r="2714" spans="1:8" ht="31.5">
      <c r="A2714" s="384" t="s">
        <v>166</v>
      </c>
      <c r="B2714" s="385" t="s">
        <v>167</v>
      </c>
      <c r="C2714" s="386" t="s">
        <v>26</v>
      </c>
      <c r="D2714" s="386" t="s">
        <v>26</v>
      </c>
      <c r="E2714" s="386" t="s">
        <v>26</v>
      </c>
      <c r="F2714" s="386" t="s">
        <v>26</v>
      </c>
      <c r="G2714" s="386" t="s">
        <v>26</v>
      </c>
      <c r="H2714" s="387" t="s">
        <v>130</v>
      </c>
    </row>
    <row r="2715" spans="1:8" ht="15.75">
      <c r="A2715" s="388"/>
      <c r="B2715" s="389"/>
      <c r="C2715" s="390"/>
      <c r="D2715" s="390"/>
      <c r="E2715" s="390"/>
      <c r="F2715" s="390"/>
      <c r="G2715" s="390"/>
      <c r="H2715" s="98"/>
    </row>
    <row r="2716" spans="1:8" ht="18.75" customHeight="1">
      <c r="A2716" s="580" t="s">
        <v>168</v>
      </c>
      <c r="B2716" s="580"/>
      <c r="C2716" s="580"/>
      <c r="D2716" s="580"/>
      <c r="E2716" s="580"/>
      <c r="F2716" s="580"/>
      <c r="G2716" s="580"/>
      <c r="H2716" s="580"/>
    </row>
    <row r="2719" ht="15.75">
      <c r="H2719" s="6" t="s">
        <v>113</v>
      </c>
    </row>
    <row r="2720" ht="15.75">
      <c r="H2720" s="6" t="s">
        <v>114</v>
      </c>
    </row>
    <row r="2721" ht="15.75">
      <c r="H2721" s="6" t="s">
        <v>115</v>
      </c>
    </row>
    <row r="2722" ht="15.75">
      <c r="H2722" s="6"/>
    </row>
    <row r="2723" spans="1:8" ht="18.75" customHeight="1">
      <c r="A2723" s="622" t="s">
        <v>116</v>
      </c>
      <c r="B2723" s="622"/>
      <c r="C2723" s="622"/>
      <c r="D2723" s="622"/>
      <c r="E2723" s="622"/>
      <c r="F2723" s="622"/>
      <c r="G2723" s="622"/>
      <c r="H2723" s="622"/>
    </row>
    <row r="2724" spans="1:8" ht="18.75" customHeight="1">
      <c r="A2724" s="622" t="s">
        <v>117</v>
      </c>
      <c r="B2724" s="622"/>
      <c r="C2724" s="622"/>
      <c r="D2724" s="622"/>
      <c r="E2724" s="622"/>
      <c r="F2724" s="622"/>
      <c r="G2724" s="622"/>
      <c r="H2724" s="622"/>
    </row>
    <row r="2725" ht="15.75">
      <c r="H2725" s="6" t="s">
        <v>562</v>
      </c>
    </row>
    <row r="2726" ht="15.75">
      <c r="H2726" s="6" t="s">
        <v>769</v>
      </c>
    </row>
    <row r="2727" ht="15.75">
      <c r="H2727" s="6" t="s">
        <v>770</v>
      </c>
    </row>
    <row r="2728" ht="15.75">
      <c r="H2728" s="361" t="str">
        <f>H11</f>
        <v>                         Добровольский К.А.</v>
      </c>
    </row>
    <row r="2729" ht="15.75">
      <c r="H2729" s="6" t="s">
        <v>772</v>
      </c>
    </row>
    <row r="2730" ht="15.75">
      <c r="H2730" s="6" t="s">
        <v>567</v>
      </c>
    </row>
    <row r="2731" ht="15.75">
      <c r="A2731" s="362"/>
    </row>
    <row r="2732" ht="15.75">
      <c r="A2732" s="3" t="s">
        <v>314</v>
      </c>
    </row>
    <row r="2733" spans="1:8" ht="18.75" customHeight="1">
      <c r="A2733" s="623" t="s">
        <v>120</v>
      </c>
      <c r="B2733" s="623"/>
      <c r="C2733" s="623"/>
      <c r="D2733" s="623"/>
      <c r="E2733" s="623"/>
      <c r="F2733" s="623"/>
      <c r="G2733" s="623"/>
      <c r="H2733" s="623"/>
    </row>
    <row r="2734" spans="1:8" ht="15.75">
      <c r="A2734" s="364"/>
      <c r="B2734" s="364"/>
      <c r="C2734" s="366"/>
      <c r="D2734" s="366"/>
      <c r="E2734" s="366"/>
      <c r="F2734" s="366"/>
      <c r="G2734" s="366"/>
      <c r="H2734" s="366"/>
    </row>
    <row r="2735" spans="1:8" ht="16.5" customHeight="1">
      <c r="A2735" s="581" t="s">
        <v>121</v>
      </c>
      <c r="B2735" s="559" t="s">
        <v>122</v>
      </c>
      <c r="C2735" s="560" t="s">
        <v>123</v>
      </c>
      <c r="D2735" s="560"/>
      <c r="E2735" s="560"/>
      <c r="F2735" s="560"/>
      <c r="G2735" s="561" t="s">
        <v>124</v>
      </c>
      <c r="H2735" s="581" t="s">
        <v>125</v>
      </c>
    </row>
    <row r="2736" spans="1:8" ht="15.75">
      <c r="A2736" s="581"/>
      <c r="B2736" s="559"/>
      <c r="C2736" s="560"/>
      <c r="D2736" s="560"/>
      <c r="E2736" s="560"/>
      <c r="F2736" s="560"/>
      <c r="G2736" s="561"/>
      <c r="H2736" s="581"/>
    </row>
    <row r="2737" spans="1:8" ht="31.5">
      <c r="A2737" s="581"/>
      <c r="B2737" s="559"/>
      <c r="C2737" s="369" t="s">
        <v>126</v>
      </c>
      <c r="D2737" s="369" t="s">
        <v>127</v>
      </c>
      <c r="E2737" s="370" t="s">
        <v>126</v>
      </c>
      <c r="F2737" s="371" t="s">
        <v>127</v>
      </c>
      <c r="G2737" s="561"/>
      <c r="H2737" s="581"/>
    </row>
    <row r="2738" spans="1:8" ht="15.75">
      <c r="A2738" s="367">
        <v>1</v>
      </c>
      <c r="B2738" s="367">
        <v>2</v>
      </c>
      <c r="C2738" s="372">
        <v>3</v>
      </c>
      <c r="D2738" s="372">
        <v>4</v>
      </c>
      <c r="E2738" s="373"/>
      <c r="F2738" s="374"/>
      <c r="G2738" s="368">
        <v>5</v>
      </c>
      <c r="H2738" s="367">
        <v>6</v>
      </c>
    </row>
    <row r="2739" spans="1:8" ht="18.75" customHeight="1">
      <c r="A2739" s="375">
        <v>1</v>
      </c>
      <c r="B2739" s="582" t="s">
        <v>128</v>
      </c>
      <c r="C2739" s="582"/>
      <c r="D2739" s="582"/>
      <c r="E2739" s="582"/>
      <c r="F2739" s="582"/>
      <c r="G2739" s="582"/>
      <c r="H2739" s="582"/>
    </row>
    <row r="2740" spans="1:8" ht="15.75">
      <c r="A2740" s="376" t="s">
        <v>594</v>
      </c>
      <c r="B2740" s="377" t="s">
        <v>129</v>
      </c>
      <c r="C2740" s="378" t="s">
        <v>26</v>
      </c>
      <c r="D2740" s="378" t="s">
        <v>26</v>
      </c>
      <c r="E2740" s="378" t="s">
        <v>26</v>
      </c>
      <c r="F2740" s="378" t="s">
        <v>26</v>
      </c>
      <c r="G2740" s="378" t="s">
        <v>26</v>
      </c>
      <c r="H2740" s="379" t="s">
        <v>130</v>
      </c>
    </row>
    <row r="2741" spans="1:8" ht="15.75">
      <c r="A2741" s="376" t="s">
        <v>735</v>
      </c>
      <c r="B2741" s="377" t="s">
        <v>131</v>
      </c>
      <c r="C2741" s="378" t="s">
        <v>26</v>
      </c>
      <c r="D2741" s="378" t="s">
        <v>26</v>
      </c>
      <c r="E2741" s="378" t="s">
        <v>26</v>
      </c>
      <c r="F2741" s="378" t="s">
        <v>26</v>
      </c>
      <c r="G2741" s="378" t="s">
        <v>26</v>
      </c>
      <c r="H2741" s="379" t="s">
        <v>130</v>
      </c>
    </row>
    <row r="2742" spans="1:8" ht="31.5">
      <c r="A2742" s="376" t="s">
        <v>737</v>
      </c>
      <c r="B2742" s="381" t="s">
        <v>132</v>
      </c>
      <c r="C2742" s="566" t="s">
        <v>101</v>
      </c>
      <c r="D2742" s="566" t="s">
        <v>102</v>
      </c>
      <c r="E2742" s="378" t="s">
        <v>26</v>
      </c>
      <c r="F2742" s="378" t="s">
        <v>26</v>
      </c>
      <c r="G2742" s="378" t="s">
        <v>26</v>
      </c>
      <c r="H2742" s="379" t="s">
        <v>130</v>
      </c>
    </row>
    <row r="2743" spans="1:8" ht="47.25">
      <c r="A2743" s="376" t="s">
        <v>739</v>
      </c>
      <c r="B2743" s="381" t="s">
        <v>133</v>
      </c>
      <c r="C2743" s="566" t="s">
        <v>103</v>
      </c>
      <c r="D2743" s="566" t="s">
        <v>104</v>
      </c>
      <c r="E2743" s="378" t="s">
        <v>26</v>
      </c>
      <c r="F2743" s="378" t="s">
        <v>26</v>
      </c>
      <c r="G2743" s="378" t="s">
        <v>26</v>
      </c>
      <c r="H2743" s="379" t="s">
        <v>130</v>
      </c>
    </row>
    <row r="2744" spans="1:8" ht="15.75">
      <c r="A2744" s="376" t="s">
        <v>852</v>
      </c>
      <c r="B2744" s="382" t="s">
        <v>134</v>
      </c>
      <c r="C2744" s="566" t="s">
        <v>105</v>
      </c>
      <c r="D2744" s="566" t="s">
        <v>106</v>
      </c>
      <c r="E2744" s="378" t="s">
        <v>26</v>
      </c>
      <c r="F2744" s="378" t="s">
        <v>26</v>
      </c>
      <c r="G2744" s="378" t="s">
        <v>26</v>
      </c>
      <c r="H2744" s="379" t="s">
        <v>130</v>
      </c>
    </row>
    <row r="2745" spans="1:8" ht="15.75">
      <c r="A2745" s="376" t="s">
        <v>853</v>
      </c>
      <c r="B2745" s="382" t="s">
        <v>135</v>
      </c>
      <c r="C2745" s="566" t="s">
        <v>101</v>
      </c>
      <c r="D2745" s="566" t="s">
        <v>107</v>
      </c>
      <c r="E2745" s="378" t="s">
        <v>26</v>
      </c>
      <c r="F2745" s="378" t="s">
        <v>26</v>
      </c>
      <c r="G2745" s="378" t="s">
        <v>26</v>
      </c>
      <c r="H2745" s="379" t="s">
        <v>130</v>
      </c>
    </row>
    <row r="2746" spans="1:8" ht="18.75" customHeight="1">
      <c r="A2746" s="376">
        <v>2</v>
      </c>
      <c r="B2746" s="579" t="s">
        <v>136</v>
      </c>
      <c r="C2746" s="579"/>
      <c r="D2746" s="579"/>
      <c r="E2746" s="579"/>
      <c r="F2746" s="579"/>
      <c r="G2746" s="579"/>
      <c r="H2746" s="579"/>
    </row>
    <row r="2747" spans="1:8" ht="31.5">
      <c r="A2747" s="376" t="s">
        <v>743</v>
      </c>
      <c r="B2747" s="381" t="s">
        <v>137</v>
      </c>
      <c r="C2747" s="378" t="s">
        <v>315</v>
      </c>
      <c r="D2747" s="378" t="s">
        <v>286</v>
      </c>
      <c r="E2747" s="378" t="s">
        <v>26</v>
      </c>
      <c r="F2747" s="378" t="s">
        <v>26</v>
      </c>
      <c r="G2747" s="383">
        <v>0</v>
      </c>
      <c r="H2747" s="379"/>
    </row>
    <row r="2748" spans="1:8" ht="47.25">
      <c r="A2748" s="376" t="s">
        <v>746</v>
      </c>
      <c r="B2748" s="381" t="s">
        <v>140</v>
      </c>
      <c r="C2748" s="378" t="s">
        <v>26</v>
      </c>
      <c r="D2748" s="378" t="s">
        <v>26</v>
      </c>
      <c r="E2748" s="378" t="s">
        <v>26</v>
      </c>
      <c r="F2748" s="378" t="s">
        <v>26</v>
      </c>
      <c r="G2748" s="378" t="s">
        <v>26</v>
      </c>
      <c r="H2748" s="379" t="s">
        <v>130</v>
      </c>
    </row>
    <row r="2749" spans="1:8" ht="31.5">
      <c r="A2749" s="376" t="s">
        <v>141</v>
      </c>
      <c r="B2749" s="381" t="s">
        <v>142</v>
      </c>
      <c r="C2749" s="378" t="s">
        <v>26</v>
      </c>
      <c r="D2749" s="378" t="s">
        <v>26</v>
      </c>
      <c r="E2749" s="378" t="s">
        <v>26</v>
      </c>
      <c r="F2749" s="378" t="s">
        <v>26</v>
      </c>
      <c r="G2749" s="378" t="s">
        <v>26</v>
      </c>
      <c r="H2749" s="379" t="s">
        <v>130</v>
      </c>
    </row>
    <row r="2750" spans="1:8" ht="18.75" customHeight="1">
      <c r="A2750" s="376">
        <v>3</v>
      </c>
      <c r="B2750" s="579" t="s">
        <v>143</v>
      </c>
      <c r="C2750" s="579"/>
      <c r="D2750" s="579"/>
      <c r="E2750" s="579"/>
      <c r="F2750" s="579"/>
      <c r="G2750" s="579"/>
      <c r="H2750" s="579"/>
    </row>
    <row r="2751" spans="1:8" ht="31.5">
      <c r="A2751" s="376" t="s">
        <v>756</v>
      </c>
      <c r="B2751" s="382" t="s">
        <v>144</v>
      </c>
      <c r="C2751" s="378" t="s">
        <v>26</v>
      </c>
      <c r="D2751" s="378" t="s">
        <v>26</v>
      </c>
      <c r="E2751" s="378" t="s">
        <v>26</v>
      </c>
      <c r="F2751" s="378" t="s">
        <v>26</v>
      </c>
      <c r="G2751" s="378" t="s">
        <v>26</v>
      </c>
      <c r="H2751" s="379" t="s">
        <v>130</v>
      </c>
    </row>
    <row r="2752" spans="1:8" ht="15.75">
      <c r="A2752" s="376" t="s">
        <v>757</v>
      </c>
      <c r="B2752" s="382" t="s">
        <v>145</v>
      </c>
      <c r="C2752" s="378" t="s">
        <v>315</v>
      </c>
      <c r="D2752" s="378" t="s">
        <v>308</v>
      </c>
      <c r="E2752" s="378" t="s">
        <v>26</v>
      </c>
      <c r="F2752" s="378" t="s">
        <v>26</v>
      </c>
      <c r="G2752" s="383">
        <v>0</v>
      </c>
      <c r="H2752" s="379"/>
    </row>
    <row r="2753" spans="1:8" ht="15.75">
      <c r="A2753" s="376" t="s">
        <v>147</v>
      </c>
      <c r="B2753" s="382" t="s">
        <v>148</v>
      </c>
      <c r="C2753" s="378" t="s">
        <v>300</v>
      </c>
      <c r="D2753" s="378" t="s">
        <v>316</v>
      </c>
      <c r="E2753" s="378" t="s">
        <v>26</v>
      </c>
      <c r="F2753" s="378" t="s">
        <v>26</v>
      </c>
      <c r="G2753" s="383">
        <v>0</v>
      </c>
      <c r="H2753" s="379"/>
    </row>
    <row r="2754" spans="1:8" ht="15.75">
      <c r="A2754" s="376" t="s">
        <v>151</v>
      </c>
      <c r="B2754" s="382" t="s">
        <v>152</v>
      </c>
      <c r="C2754" s="378" t="s">
        <v>317</v>
      </c>
      <c r="D2754" s="378" t="s">
        <v>318</v>
      </c>
      <c r="E2754" s="378" t="s">
        <v>26</v>
      </c>
      <c r="F2754" s="378" t="s">
        <v>26</v>
      </c>
      <c r="G2754" s="383">
        <v>0</v>
      </c>
      <c r="H2754" s="379"/>
    </row>
    <row r="2755" spans="1:8" ht="15.75">
      <c r="A2755" s="376" t="s">
        <v>155</v>
      </c>
      <c r="B2755" s="382" t="s">
        <v>156</v>
      </c>
      <c r="C2755" s="378" t="s">
        <v>284</v>
      </c>
      <c r="D2755" s="378" t="s">
        <v>319</v>
      </c>
      <c r="E2755" s="378" t="s">
        <v>26</v>
      </c>
      <c r="F2755" s="378" t="s">
        <v>26</v>
      </c>
      <c r="G2755" s="383">
        <v>0</v>
      </c>
      <c r="H2755" s="379"/>
    </row>
    <row r="2756" spans="1:8" ht="18.75" customHeight="1">
      <c r="A2756" s="376">
        <v>4</v>
      </c>
      <c r="B2756" s="579" t="s">
        <v>159</v>
      </c>
      <c r="C2756" s="579"/>
      <c r="D2756" s="579"/>
      <c r="E2756" s="579"/>
      <c r="F2756" s="579"/>
      <c r="G2756" s="579"/>
      <c r="H2756" s="579"/>
    </row>
    <row r="2757" spans="1:8" ht="31.5">
      <c r="A2757" s="376" t="s">
        <v>160</v>
      </c>
      <c r="B2757" s="381" t="s">
        <v>161</v>
      </c>
      <c r="C2757" s="378" t="s">
        <v>26</v>
      </c>
      <c r="D2757" s="378" t="s">
        <v>26</v>
      </c>
      <c r="E2757" s="378" t="s">
        <v>26</v>
      </c>
      <c r="F2757" s="378" t="s">
        <v>26</v>
      </c>
      <c r="G2757" s="378" t="s">
        <v>26</v>
      </c>
      <c r="H2757" s="379" t="s">
        <v>130</v>
      </c>
    </row>
    <row r="2758" spans="1:8" ht="47.25">
      <c r="A2758" s="376" t="s">
        <v>162</v>
      </c>
      <c r="B2758" s="381" t="s">
        <v>163</v>
      </c>
      <c r="C2758" s="378" t="s">
        <v>26</v>
      </c>
      <c r="D2758" s="378" t="s">
        <v>26</v>
      </c>
      <c r="E2758" s="378" t="s">
        <v>26</v>
      </c>
      <c r="F2758" s="378" t="s">
        <v>26</v>
      </c>
      <c r="G2758" s="378" t="s">
        <v>26</v>
      </c>
      <c r="H2758" s="379" t="s">
        <v>130</v>
      </c>
    </row>
    <row r="2759" spans="1:8" ht="31.5">
      <c r="A2759" s="376" t="s">
        <v>164</v>
      </c>
      <c r="B2759" s="382" t="s">
        <v>165</v>
      </c>
      <c r="C2759" s="378" t="s">
        <v>26</v>
      </c>
      <c r="D2759" s="378" t="s">
        <v>26</v>
      </c>
      <c r="E2759" s="378" t="s">
        <v>26</v>
      </c>
      <c r="F2759" s="378" t="s">
        <v>26</v>
      </c>
      <c r="G2759" s="378" t="s">
        <v>26</v>
      </c>
      <c r="H2759" s="379" t="s">
        <v>130</v>
      </c>
    </row>
    <row r="2760" spans="1:8" ht="31.5">
      <c r="A2760" s="384" t="s">
        <v>166</v>
      </c>
      <c r="B2760" s="385" t="s">
        <v>167</v>
      </c>
      <c r="C2760" s="386" t="s">
        <v>26</v>
      </c>
      <c r="D2760" s="386" t="s">
        <v>26</v>
      </c>
      <c r="E2760" s="386" t="s">
        <v>26</v>
      </c>
      <c r="F2760" s="386" t="s">
        <v>26</v>
      </c>
      <c r="G2760" s="386" t="s">
        <v>26</v>
      </c>
      <c r="H2760" s="387" t="s">
        <v>130</v>
      </c>
    </row>
    <row r="2761" spans="1:8" ht="15.75">
      <c r="A2761" s="388"/>
      <c r="B2761" s="389"/>
      <c r="C2761" s="390"/>
      <c r="D2761" s="390"/>
      <c r="E2761" s="390"/>
      <c r="F2761" s="390"/>
      <c r="G2761" s="390"/>
      <c r="H2761" s="98"/>
    </row>
    <row r="2762" spans="1:8" ht="18.75" customHeight="1">
      <c r="A2762" s="580" t="s">
        <v>168</v>
      </c>
      <c r="B2762" s="580"/>
      <c r="C2762" s="580"/>
      <c r="D2762" s="580"/>
      <c r="E2762" s="580"/>
      <c r="F2762" s="580"/>
      <c r="G2762" s="580"/>
      <c r="H2762" s="580"/>
    </row>
    <row r="2763" spans="1:8" ht="15.75">
      <c r="A2763" s="391"/>
      <c r="B2763" s="391"/>
      <c r="C2763" s="391"/>
      <c r="D2763" s="391"/>
      <c r="E2763" s="391"/>
      <c r="F2763" s="391"/>
      <c r="G2763" s="391"/>
      <c r="H2763" s="391"/>
    </row>
    <row r="2764" spans="1:8" ht="15.75">
      <c r="A2764" s="391"/>
      <c r="B2764" s="391"/>
      <c r="C2764" s="391"/>
      <c r="D2764" s="391"/>
      <c r="E2764" s="391"/>
      <c r="F2764" s="391"/>
      <c r="G2764" s="391"/>
      <c r="H2764" s="391"/>
    </row>
    <row r="2765" ht="15.75">
      <c r="H2765" s="6" t="s">
        <v>113</v>
      </c>
    </row>
    <row r="2766" ht="15.75">
      <c r="H2766" s="6" t="s">
        <v>114</v>
      </c>
    </row>
    <row r="2767" ht="15.75">
      <c r="H2767" s="6" t="s">
        <v>115</v>
      </c>
    </row>
    <row r="2768" ht="15.75">
      <c r="H2768" s="6"/>
    </row>
    <row r="2769" spans="1:8" ht="18.75" customHeight="1">
      <c r="A2769" s="622" t="s">
        <v>116</v>
      </c>
      <c r="B2769" s="622"/>
      <c r="C2769" s="622"/>
      <c r="D2769" s="622"/>
      <c r="E2769" s="622"/>
      <c r="F2769" s="622"/>
      <c r="G2769" s="622"/>
      <c r="H2769" s="622"/>
    </row>
    <row r="2770" spans="1:8" ht="18.75" customHeight="1">
      <c r="A2770" s="622" t="s">
        <v>117</v>
      </c>
      <c r="B2770" s="622"/>
      <c r="C2770" s="622"/>
      <c r="D2770" s="622"/>
      <c r="E2770" s="622"/>
      <c r="F2770" s="622"/>
      <c r="G2770" s="622"/>
      <c r="H2770" s="622"/>
    </row>
    <row r="2771" ht="15.75">
      <c r="H2771" s="6" t="s">
        <v>562</v>
      </c>
    </row>
    <row r="2772" ht="15.75">
      <c r="H2772" s="6" t="s">
        <v>769</v>
      </c>
    </row>
    <row r="2773" ht="15.75">
      <c r="H2773" s="6" t="s">
        <v>770</v>
      </c>
    </row>
    <row r="2774" ht="15.75">
      <c r="H2774" s="361" t="str">
        <f>H11</f>
        <v>                         Добровольский К.А.</v>
      </c>
    </row>
    <row r="2775" ht="15.75">
      <c r="H2775" s="6" t="s">
        <v>772</v>
      </c>
    </row>
    <row r="2776" ht="15.75">
      <c r="H2776" s="6" t="s">
        <v>567</v>
      </c>
    </row>
    <row r="2777" ht="15.75">
      <c r="A2777" s="362"/>
    </row>
    <row r="2778" ht="15.75">
      <c r="A2778" s="3" t="s">
        <v>320</v>
      </c>
    </row>
    <row r="2779" spans="1:8" ht="18.75" customHeight="1">
      <c r="A2779" s="623" t="s">
        <v>120</v>
      </c>
      <c r="B2779" s="623"/>
      <c r="C2779" s="623"/>
      <c r="D2779" s="623"/>
      <c r="E2779" s="623"/>
      <c r="F2779" s="623"/>
      <c r="G2779" s="623"/>
      <c r="H2779" s="623"/>
    </row>
    <row r="2780" spans="1:8" ht="15.75">
      <c r="A2780" s="364"/>
      <c r="B2780" s="364"/>
      <c r="C2780" s="366"/>
      <c r="D2780" s="366"/>
      <c r="E2780" s="366"/>
      <c r="F2780" s="366"/>
      <c r="G2780" s="366"/>
      <c r="H2780" s="366"/>
    </row>
    <row r="2781" spans="1:8" ht="16.5" customHeight="1">
      <c r="A2781" s="581" t="s">
        <v>121</v>
      </c>
      <c r="B2781" s="559" t="s">
        <v>122</v>
      </c>
      <c r="C2781" s="560" t="s">
        <v>123</v>
      </c>
      <c r="D2781" s="560"/>
      <c r="E2781" s="560"/>
      <c r="F2781" s="560"/>
      <c r="G2781" s="561" t="s">
        <v>124</v>
      </c>
      <c r="H2781" s="581" t="s">
        <v>125</v>
      </c>
    </row>
    <row r="2782" spans="1:8" ht="15.75">
      <c r="A2782" s="581"/>
      <c r="B2782" s="559"/>
      <c r="C2782" s="560"/>
      <c r="D2782" s="560"/>
      <c r="E2782" s="560"/>
      <c r="F2782" s="560"/>
      <c r="G2782" s="561"/>
      <c r="H2782" s="581"/>
    </row>
    <row r="2783" spans="1:8" ht="31.5">
      <c r="A2783" s="581"/>
      <c r="B2783" s="559"/>
      <c r="C2783" s="369" t="s">
        <v>126</v>
      </c>
      <c r="D2783" s="369" t="s">
        <v>127</v>
      </c>
      <c r="E2783" s="370" t="s">
        <v>126</v>
      </c>
      <c r="F2783" s="371" t="s">
        <v>127</v>
      </c>
      <c r="G2783" s="561"/>
      <c r="H2783" s="581"/>
    </row>
    <row r="2784" spans="1:8" ht="15.75">
      <c r="A2784" s="367">
        <v>1</v>
      </c>
      <c r="B2784" s="367">
        <v>2</v>
      </c>
      <c r="C2784" s="372">
        <v>3</v>
      </c>
      <c r="D2784" s="372">
        <v>4</v>
      </c>
      <c r="E2784" s="373"/>
      <c r="F2784" s="374"/>
      <c r="G2784" s="368">
        <v>5</v>
      </c>
      <c r="H2784" s="367">
        <v>6</v>
      </c>
    </row>
    <row r="2785" spans="1:8" ht="18.75" customHeight="1">
      <c r="A2785" s="375">
        <v>1</v>
      </c>
      <c r="B2785" s="582" t="s">
        <v>128</v>
      </c>
      <c r="C2785" s="582"/>
      <c r="D2785" s="582"/>
      <c r="E2785" s="582"/>
      <c r="F2785" s="582"/>
      <c r="G2785" s="582"/>
      <c r="H2785" s="582"/>
    </row>
    <row r="2786" spans="1:8" ht="15.75">
      <c r="A2786" s="376" t="s">
        <v>594</v>
      </c>
      <c r="B2786" s="377" t="s">
        <v>129</v>
      </c>
      <c r="C2786" s="378" t="s">
        <v>26</v>
      </c>
      <c r="D2786" s="378" t="s">
        <v>26</v>
      </c>
      <c r="E2786" s="378" t="s">
        <v>26</v>
      </c>
      <c r="F2786" s="378" t="s">
        <v>26</v>
      </c>
      <c r="G2786" s="378" t="s">
        <v>26</v>
      </c>
      <c r="H2786" s="379" t="s">
        <v>130</v>
      </c>
    </row>
    <row r="2787" spans="1:8" ht="15.75">
      <c r="A2787" s="376" t="s">
        <v>735</v>
      </c>
      <c r="B2787" s="377" t="s">
        <v>131</v>
      </c>
      <c r="C2787" s="378" t="s">
        <v>26</v>
      </c>
      <c r="D2787" s="378" t="s">
        <v>26</v>
      </c>
      <c r="E2787" s="378" t="s">
        <v>26</v>
      </c>
      <c r="F2787" s="378" t="s">
        <v>26</v>
      </c>
      <c r="G2787" s="378" t="s">
        <v>26</v>
      </c>
      <c r="H2787" s="379" t="s">
        <v>130</v>
      </c>
    </row>
    <row r="2788" spans="1:8" ht="31.5">
      <c r="A2788" s="376" t="s">
        <v>737</v>
      </c>
      <c r="B2788" s="381" t="s">
        <v>132</v>
      </c>
      <c r="C2788" s="566" t="s">
        <v>101</v>
      </c>
      <c r="D2788" s="566" t="s">
        <v>102</v>
      </c>
      <c r="E2788" s="378" t="s">
        <v>26</v>
      </c>
      <c r="F2788" s="378" t="s">
        <v>26</v>
      </c>
      <c r="G2788" s="378" t="s">
        <v>26</v>
      </c>
      <c r="H2788" s="379" t="s">
        <v>130</v>
      </c>
    </row>
    <row r="2789" spans="1:8" ht="47.25">
      <c r="A2789" s="376" t="s">
        <v>739</v>
      </c>
      <c r="B2789" s="381" t="s">
        <v>133</v>
      </c>
      <c r="C2789" s="566" t="s">
        <v>103</v>
      </c>
      <c r="D2789" s="566" t="s">
        <v>104</v>
      </c>
      <c r="E2789" s="378" t="s">
        <v>26</v>
      </c>
      <c r="F2789" s="378" t="s">
        <v>26</v>
      </c>
      <c r="G2789" s="378" t="s">
        <v>26</v>
      </c>
      <c r="H2789" s="379" t="s">
        <v>130</v>
      </c>
    </row>
    <row r="2790" spans="1:8" ht="15.75">
      <c r="A2790" s="376" t="s">
        <v>852</v>
      </c>
      <c r="B2790" s="382" t="s">
        <v>134</v>
      </c>
      <c r="C2790" s="566" t="s">
        <v>105</v>
      </c>
      <c r="D2790" s="566" t="s">
        <v>106</v>
      </c>
      <c r="E2790" s="378" t="s">
        <v>26</v>
      </c>
      <c r="F2790" s="378" t="s">
        <v>26</v>
      </c>
      <c r="G2790" s="378" t="s">
        <v>26</v>
      </c>
      <c r="H2790" s="379" t="s">
        <v>130</v>
      </c>
    </row>
    <row r="2791" spans="1:8" ht="15.75">
      <c r="A2791" s="376" t="s">
        <v>853</v>
      </c>
      <c r="B2791" s="382" t="s">
        <v>135</v>
      </c>
      <c r="C2791" s="566" t="s">
        <v>101</v>
      </c>
      <c r="D2791" s="566" t="s">
        <v>107</v>
      </c>
      <c r="E2791" s="378" t="s">
        <v>26</v>
      </c>
      <c r="F2791" s="378" t="s">
        <v>26</v>
      </c>
      <c r="G2791" s="378" t="s">
        <v>26</v>
      </c>
      <c r="H2791" s="379" t="s">
        <v>130</v>
      </c>
    </row>
    <row r="2792" spans="1:8" ht="18.75" customHeight="1">
      <c r="A2792" s="376">
        <v>2</v>
      </c>
      <c r="B2792" s="579" t="s">
        <v>136</v>
      </c>
      <c r="C2792" s="579"/>
      <c r="D2792" s="579"/>
      <c r="E2792" s="579"/>
      <c r="F2792" s="579"/>
      <c r="G2792" s="579"/>
      <c r="H2792" s="579"/>
    </row>
    <row r="2793" spans="1:8" ht="31.5">
      <c r="A2793" s="376" t="s">
        <v>743</v>
      </c>
      <c r="B2793" s="381" t="s">
        <v>137</v>
      </c>
      <c r="C2793" s="378" t="s">
        <v>315</v>
      </c>
      <c r="D2793" s="378" t="s">
        <v>286</v>
      </c>
      <c r="E2793" s="378" t="s">
        <v>26</v>
      </c>
      <c r="F2793" s="378" t="s">
        <v>26</v>
      </c>
      <c r="G2793" s="383">
        <v>0</v>
      </c>
      <c r="H2793" s="379"/>
    </row>
    <row r="2794" spans="1:8" ht="47.25">
      <c r="A2794" s="376" t="s">
        <v>746</v>
      </c>
      <c r="B2794" s="381" t="s">
        <v>140</v>
      </c>
      <c r="C2794" s="378" t="s">
        <v>26</v>
      </c>
      <c r="D2794" s="378" t="s">
        <v>26</v>
      </c>
      <c r="E2794" s="378" t="s">
        <v>26</v>
      </c>
      <c r="F2794" s="378" t="s">
        <v>26</v>
      </c>
      <c r="G2794" s="378" t="s">
        <v>26</v>
      </c>
      <c r="H2794" s="379" t="s">
        <v>130</v>
      </c>
    </row>
    <row r="2795" spans="1:8" ht="31.5">
      <c r="A2795" s="376" t="s">
        <v>141</v>
      </c>
      <c r="B2795" s="381" t="s">
        <v>142</v>
      </c>
      <c r="C2795" s="378" t="s">
        <v>26</v>
      </c>
      <c r="D2795" s="378" t="s">
        <v>26</v>
      </c>
      <c r="E2795" s="378" t="s">
        <v>26</v>
      </c>
      <c r="F2795" s="378" t="s">
        <v>26</v>
      </c>
      <c r="G2795" s="378" t="s">
        <v>26</v>
      </c>
      <c r="H2795" s="379" t="s">
        <v>130</v>
      </c>
    </row>
    <row r="2796" spans="1:8" ht="18.75" customHeight="1">
      <c r="A2796" s="376">
        <v>3</v>
      </c>
      <c r="B2796" s="579" t="s">
        <v>143</v>
      </c>
      <c r="C2796" s="579"/>
      <c r="D2796" s="579"/>
      <c r="E2796" s="579"/>
      <c r="F2796" s="579"/>
      <c r="G2796" s="579"/>
      <c r="H2796" s="579"/>
    </row>
    <row r="2797" spans="1:8" ht="31.5">
      <c r="A2797" s="376" t="s">
        <v>756</v>
      </c>
      <c r="B2797" s="382" t="s">
        <v>144</v>
      </c>
      <c r="C2797" s="378" t="s">
        <v>26</v>
      </c>
      <c r="D2797" s="378" t="s">
        <v>26</v>
      </c>
      <c r="E2797" s="378" t="s">
        <v>26</v>
      </c>
      <c r="F2797" s="378" t="s">
        <v>26</v>
      </c>
      <c r="G2797" s="378" t="s">
        <v>26</v>
      </c>
      <c r="H2797" s="379" t="s">
        <v>130</v>
      </c>
    </row>
    <row r="2798" spans="1:8" ht="15.75">
      <c r="A2798" s="376" t="s">
        <v>757</v>
      </c>
      <c r="B2798" s="382" t="s">
        <v>145</v>
      </c>
      <c r="C2798" s="378" t="s">
        <v>315</v>
      </c>
      <c r="D2798" s="378" t="s">
        <v>308</v>
      </c>
      <c r="E2798" s="378" t="s">
        <v>26</v>
      </c>
      <c r="F2798" s="378" t="s">
        <v>26</v>
      </c>
      <c r="G2798" s="383">
        <v>0</v>
      </c>
      <c r="H2798" s="379"/>
    </row>
    <row r="2799" spans="1:8" ht="15.75">
      <c r="A2799" s="376" t="s">
        <v>147</v>
      </c>
      <c r="B2799" s="382" t="s">
        <v>148</v>
      </c>
      <c r="C2799" s="378" t="s">
        <v>300</v>
      </c>
      <c r="D2799" s="378" t="s">
        <v>316</v>
      </c>
      <c r="E2799" s="378" t="s">
        <v>26</v>
      </c>
      <c r="F2799" s="378" t="s">
        <v>26</v>
      </c>
      <c r="G2799" s="383">
        <v>0</v>
      </c>
      <c r="H2799" s="379"/>
    </row>
    <row r="2800" spans="1:8" ht="15.75">
      <c r="A2800" s="376" t="s">
        <v>151</v>
      </c>
      <c r="B2800" s="382" t="s">
        <v>152</v>
      </c>
      <c r="C2800" s="378" t="s">
        <v>317</v>
      </c>
      <c r="D2800" s="378" t="s">
        <v>318</v>
      </c>
      <c r="E2800" s="378" t="s">
        <v>26</v>
      </c>
      <c r="F2800" s="378" t="s">
        <v>26</v>
      </c>
      <c r="G2800" s="383">
        <v>0</v>
      </c>
      <c r="H2800" s="379"/>
    </row>
    <row r="2801" spans="1:8" ht="15.75">
      <c r="A2801" s="376" t="s">
        <v>155</v>
      </c>
      <c r="B2801" s="382" t="s">
        <v>156</v>
      </c>
      <c r="C2801" s="378" t="s">
        <v>284</v>
      </c>
      <c r="D2801" s="378" t="s">
        <v>319</v>
      </c>
      <c r="E2801" s="378" t="s">
        <v>26</v>
      </c>
      <c r="F2801" s="378" t="s">
        <v>26</v>
      </c>
      <c r="G2801" s="383">
        <v>0</v>
      </c>
      <c r="H2801" s="379"/>
    </row>
    <row r="2802" spans="1:8" ht="18.75" customHeight="1">
      <c r="A2802" s="376">
        <v>4</v>
      </c>
      <c r="B2802" s="579" t="s">
        <v>159</v>
      </c>
      <c r="C2802" s="579"/>
      <c r="D2802" s="579"/>
      <c r="E2802" s="579"/>
      <c r="F2802" s="579"/>
      <c r="G2802" s="579"/>
      <c r="H2802" s="579"/>
    </row>
    <row r="2803" spans="1:8" ht="31.5">
      <c r="A2803" s="376" t="s">
        <v>160</v>
      </c>
      <c r="B2803" s="381" t="s">
        <v>161</v>
      </c>
      <c r="C2803" s="378" t="s">
        <v>26</v>
      </c>
      <c r="D2803" s="378" t="s">
        <v>26</v>
      </c>
      <c r="E2803" s="378" t="s">
        <v>26</v>
      </c>
      <c r="F2803" s="378" t="s">
        <v>26</v>
      </c>
      <c r="G2803" s="378" t="s">
        <v>26</v>
      </c>
      <c r="H2803" s="379" t="s">
        <v>130</v>
      </c>
    </row>
    <row r="2804" spans="1:8" ht="47.25">
      <c r="A2804" s="376" t="s">
        <v>162</v>
      </c>
      <c r="B2804" s="381" t="s">
        <v>163</v>
      </c>
      <c r="C2804" s="378" t="s">
        <v>26</v>
      </c>
      <c r="D2804" s="378" t="s">
        <v>26</v>
      </c>
      <c r="E2804" s="378" t="s">
        <v>26</v>
      </c>
      <c r="F2804" s="378" t="s">
        <v>26</v>
      </c>
      <c r="G2804" s="378" t="s">
        <v>26</v>
      </c>
      <c r="H2804" s="379" t="s">
        <v>130</v>
      </c>
    </row>
    <row r="2805" spans="1:8" ht="31.5">
      <c r="A2805" s="376" t="s">
        <v>164</v>
      </c>
      <c r="B2805" s="382" t="s">
        <v>165</v>
      </c>
      <c r="C2805" s="378" t="s">
        <v>26</v>
      </c>
      <c r="D2805" s="378" t="s">
        <v>26</v>
      </c>
      <c r="E2805" s="378" t="s">
        <v>26</v>
      </c>
      <c r="F2805" s="378" t="s">
        <v>26</v>
      </c>
      <c r="G2805" s="378" t="s">
        <v>26</v>
      </c>
      <c r="H2805" s="379" t="s">
        <v>130</v>
      </c>
    </row>
    <row r="2806" spans="1:8" ht="31.5">
      <c r="A2806" s="384" t="s">
        <v>166</v>
      </c>
      <c r="B2806" s="385" t="s">
        <v>167</v>
      </c>
      <c r="C2806" s="386" t="s">
        <v>26</v>
      </c>
      <c r="D2806" s="386" t="s">
        <v>26</v>
      </c>
      <c r="E2806" s="386" t="s">
        <v>26</v>
      </c>
      <c r="F2806" s="386" t="s">
        <v>26</v>
      </c>
      <c r="G2806" s="386" t="s">
        <v>26</v>
      </c>
      <c r="H2806" s="387" t="s">
        <v>130</v>
      </c>
    </row>
    <row r="2807" spans="1:8" ht="15.75">
      <c r="A2807" s="388"/>
      <c r="B2807" s="389"/>
      <c r="C2807" s="390"/>
      <c r="D2807" s="390"/>
      <c r="E2807" s="390"/>
      <c r="F2807" s="390"/>
      <c r="G2807" s="390"/>
      <c r="H2807" s="98"/>
    </row>
    <row r="2808" spans="1:8" ht="18.75" customHeight="1">
      <c r="A2808" s="580" t="s">
        <v>168</v>
      </c>
      <c r="B2808" s="580"/>
      <c r="C2808" s="580"/>
      <c r="D2808" s="580"/>
      <c r="E2808" s="580"/>
      <c r="F2808" s="580"/>
      <c r="G2808" s="580"/>
      <c r="H2808" s="580"/>
    </row>
    <row r="2809" spans="1:8" ht="15.75">
      <c r="A2809" s="391"/>
      <c r="B2809" s="391"/>
      <c r="C2809" s="391"/>
      <c r="D2809" s="391"/>
      <c r="E2809" s="391"/>
      <c r="F2809" s="391"/>
      <c r="G2809" s="391"/>
      <c r="H2809" s="391"/>
    </row>
    <row r="2810" spans="1:8" ht="15.75">
      <c r="A2810" s="391"/>
      <c r="B2810" s="391"/>
      <c r="C2810" s="391"/>
      <c r="D2810" s="391"/>
      <c r="E2810" s="391"/>
      <c r="F2810" s="391"/>
      <c r="G2810" s="391"/>
      <c r="H2810" s="391"/>
    </row>
    <row r="2811" ht="15.75">
      <c r="H2811" s="6" t="s">
        <v>113</v>
      </c>
    </row>
    <row r="2812" ht="15.75">
      <c r="H2812" s="6" t="s">
        <v>114</v>
      </c>
    </row>
    <row r="2813" ht="15.75">
      <c r="H2813" s="6" t="s">
        <v>115</v>
      </c>
    </row>
    <row r="2814" ht="15.75">
      <c r="H2814" s="6"/>
    </row>
    <row r="2815" spans="1:8" ht="18.75" customHeight="1">
      <c r="A2815" s="622" t="s">
        <v>116</v>
      </c>
      <c r="B2815" s="622"/>
      <c r="C2815" s="622"/>
      <c r="D2815" s="622"/>
      <c r="E2815" s="622"/>
      <c r="F2815" s="622"/>
      <c r="G2815" s="622"/>
      <c r="H2815" s="622"/>
    </row>
    <row r="2816" spans="1:8" ht="18.75" customHeight="1">
      <c r="A2816" s="622" t="s">
        <v>117</v>
      </c>
      <c r="B2816" s="622"/>
      <c r="C2816" s="622"/>
      <c r="D2816" s="622"/>
      <c r="E2816" s="622"/>
      <c r="F2816" s="622"/>
      <c r="G2816" s="622"/>
      <c r="H2816" s="622"/>
    </row>
    <row r="2817" ht="15.75">
      <c r="H2817" s="6" t="s">
        <v>562</v>
      </c>
    </row>
    <row r="2818" ht="15.75">
      <c r="H2818" s="6" t="s">
        <v>769</v>
      </c>
    </row>
    <row r="2819" ht="15.75">
      <c r="H2819" s="6" t="s">
        <v>770</v>
      </c>
    </row>
    <row r="2820" ht="15.75">
      <c r="H2820" s="361" t="str">
        <f>H11</f>
        <v>                         Добровольский К.А.</v>
      </c>
    </row>
    <row r="2821" ht="15.75">
      <c r="H2821" s="6" t="s">
        <v>772</v>
      </c>
    </row>
    <row r="2822" ht="15.75">
      <c r="H2822" s="6" t="s">
        <v>567</v>
      </c>
    </row>
    <row r="2823" ht="15.75">
      <c r="A2823" s="362"/>
    </row>
    <row r="2824" ht="15.75">
      <c r="A2824" s="3" t="s">
        <v>321</v>
      </c>
    </row>
    <row r="2825" spans="1:8" ht="18.75" customHeight="1">
      <c r="A2825" s="623" t="s">
        <v>120</v>
      </c>
      <c r="B2825" s="623"/>
      <c r="C2825" s="623"/>
      <c r="D2825" s="623"/>
      <c r="E2825" s="623"/>
      <c r="F2825" s="623"/>
      <c r="G2825" s="623"/>
      <c r="H2825" s="623"/>
    </row>
    <row r="2826" spans="1:8" ht="15.75">
      <c r="A2826" s="364"/>
      <c r="B2826" s="364"/>
      <c r="C2826" s="366"/>
      <c r="D2826" s="366"/>
      <c r="E2826" s="366"/>
      <c r="F2826" s="366"/>
      <c r="G2826" s="366"/>
      <c r="H2826" s="366"/>
    </row>
    <row r="2827" spans="1:8" ht="16.5" customHeight="1">
      <c r="A2827" s="581" t="s">
        <v>121</v>
      </c>
      <c r="B2827" s="559" t="s">
        <v>122</v>
      </c>
      <c r="C2827" s="560" t="s">
        <v>123</v>
      </c>
      <c r="D2827" s="560"/>
      <c r="E2827" s="560"/>
      <c r="F2827" s="560"/>
      <c r="G2827" s="561" t="s">
        <v>124</v>
      </c>
      <c r="H2827" s="581" t="s">
        <v>125</v>
      </c>
    </row>
    <row r="2828" spans="1:8" ht="15.75">
      <c r="A2828" s="581"/>
      <c r="B2828" s="559"/>
      <c r="C2828" s="560"/>
      <c r="D2828" s="560"/>
      <c r="E2828" s="560"/>
      <c r="F2828" s="560"/>
      <c r="G2828" s="561"/>
      <c r="H2828" s="581"/>
    </row>
    <row r="2829" spans="1:8" ht="31.5">
      <c r="A2829" s="581"/>
      <c r="B2829" s="559"/>
      <c r="C2829" s="369" t="s">
        <v>126</v>
      </c>
      <c r="D2829" s="369" t="s">
        <v>127</v>
      </c>
      <c r="E2829" s="370" t="s">
        <v>126</v>
      </c>
      <c r="F2829" s="371" t="s">
        <v>127</v>
      </c>
      <c r="G2829" s="561"/>
      <c r="H2829" s="581"/>
    </row>
    <row r="2830" spans="1:8" ht="15.75">
      <c r="A2830" s="367">
        <v>1</v>
      </c>
      <c r="B2830" s="367">
        <v>2</v>
      </c>
      <c r="C2830" s="372">
        <v>3</v>
      </c>
      <c r="D2830" s="372">
        <v>4</v>
      </c>
      <c r="E2830" s="373"/>
      <c r="F2830" s="374"/>
      <c r="G2830" s="368">
        <v>5</v>
      </c>
      <c r="H2830" s="367">
        <v>6</v>
      </c>
    </row>
    <row r="2831" spans="1:8" ht="18.75" customHeight="1">
      <c r="A2831" s="375">
        <v>1</v>
      </c>
      <c r="B2831" s="582" t="s">
        <v>128</v>
      </c>
      <c r="C2831" s="582"/>
      <c r="D2831" s="582"/>
      <c r="E2831" s="582"/>
      <c r="F2831" s="582"/>
      <c r="G2831" s="582"/>
      <c r="H2831" s="582"/>
    </row>
    <row r="2832" spans="1:8" ht="15.75">
      <c r="A2832" s="376" t="s">
        <v>594</v>
      </c>
      <c r="B2832" s="377" t="s">
        <v>129</v>
      </c>
      <c r="C2832" s="378" t="s">
        <v>26</v>
      </c>
      <c r="D2832" s="378" t="s">
        <v>26</v>
      </c>
      <c r="E2832" s="378" t="s">
        <v>26</v>
      </c>
      <c r="F2832" s="378" t="s">
        <v>26</v>
      </c>
      <c r="G2832" s="378" t="s">
        <v>26</v>
      </c>
      <c r="H2832" s="379" t="s">
        <v>130</v>
      </c>
    </row>
    <row r="2833" spans="1:8" ht="15.75">
      <c r="A2833" s="376" t="s">
        <v>735</v>
      </c>
      <c r="B2833" s="377" t="s">
        <v>131</v>
      </c>
      <c r="C2833" s="378" t="s">
        <v>26</v>
      </c>
      <c r="D2833" s="378" t="s">
        <v>26</v>
      </c>
      <c r="E2833" s="378" t="s">
        <v>26</v>
      </c>
      <c r="F2833" s="378" t="s">
        <v>26</v>
      </c>
      <c r="G2833" s="378" t="s">
        <v>26</v>
      </c>
      <c r="H2833" s="379" t="s">
        <v>130</v>
      </c>
    </row>
    <row r="2834" spans="1:8" ht="31.5">
      <c r="A2834" s="376" t="s">
        <v>737</v>
      </c>
      <c r="B2834" s="381" t="s">
        <v>132</v>
      </c>
      <c r="C2834" s="566" t="s">
        <v>101</v>
      </c>
      <c r="D2834" s="566" t="s">
        <v>102</v>
      </c>
      <c r="E2834" s="378" t="s">
        <v>26</v>
      </c>
      <c r="F2834" s="378" t="s">
        <v>26</v>
      </c>
      <c r="G2834" s="378" t="s">
        <v>26</v>
      </c>
      <c r="H2834" s="379" t="s">
        <v>130</v>
      </c>
    </row>
    <row r="2835" spans="1:8" ht="47.25">
      <c r="A2835" s="376" t="s">
        <v>739</v>
      </c>
      <c r="B2835" s="381" t="s">
        <v>133</v>
      </c>
      <c r="C2835" s="566" t="s">
        <v>103</v>
      </c>
      <c r="D2835" s="566" t="s">
        <v>104</v>
      </c>
      <c r="E2835" s="378" t="s">
        <v>26</v>
      </c>
      <c r="F2835" s="378" t="s">
        <v>26</v>
      </c>
      <c r="G2835" s="378" t="s">
        <v>26</v>
      </c>
      <c r="H2835" s="379" t="s">
        <v>130</v>
      </c>
    </row>
    <row r="2836" spans="1:8" ht="15.75">
      <c r="A2836" s="376" t="s">
        <v>852</v>
      </c>
      <c r="B2836" s="382" t="s">
        <v>134</v>
      </c>
      <c r="C2836" s="566" t="s">
        <v>105</v>
      </c>
      <c r="D2836" s="566" t="s">
        <v>106</v>
      </c>
      <c r="E2836" s="378" t="s">
        <v>26</v>
      </c>
      <c r="F2836" s="378" t="s">
        <v>26</v>
      </c>
      <c r="G2836" s="378" t="s">
        <v>26</v>
      </c>
      <c r="H2836" s="379" t="s">
        <v>130</v>
      </c>
    </row>
    <row r="2837" spans="1:8" ht="15.75">
      <c r="A2837" s="376" t="s">
        <v>853</v>
      </c>
      <c r="B2837" s="382" t="s">
        <v>135</v>
      </c>
      <c r="C2837" s="566" t="s">
        <v>101</v>
      </c>
      <c r="D2837" s="566" t="s">
        <v>107</v>
      </c>
      <c r="E2837" s="378" t="s">
        <v>26</v>
      </c>
      <c r="F2837" s="378" t="s">
        <v>26</v>
      </c>
      <c r="G2837" s="378" t="s">
        <v>26</v>
      </c>
      <c r="H2837" s="379" t="s">
        <v>130</v>
      </c>
    </row>
    <row r="2838" spans="1:8" ht="18.75" customHeight="1">
      <c r="A2838" s="376">
        <v>2</v>
      </c>
      <c r="B2838" s="579" t="s">
        <v>136</v>
      </c>
      <c r="C2838" s="579"/>
      <c r="D2838" s="579"/>
      <c r="E2838" s="579"/>
      <c r="F2838" s="579"/>
      <c r="G2838" s="579"/>
      <c r="H2838" s="579"/>
    </row>
    <row r="2839" spans="1:8" ht="31.5">
      <c r="A2839" s="376" t="s">
        <v>743</v>
      </c>
      <c r="B2839" s="381" t="s">
        <v>137</v>
      </c>
      <c r="C2839" s="378" t="s">
        <v>315</v>
      </c>
      <c r="D2839" s="378" t="s">
        <v>286</v>
      </c>
      <c r="E2839" s="378" t="s">
        <v>26</v>
      </c>
      <c r="F2839" s="378" t="s">
        <v>26</v>
      </c>
      <c r="G2839" s="383">
        <v>0</v>
      </c>
      <c r="H2839" s="379"/>
    </row>
    <row r="2840" spans="1:8" ht="47.25">
      <c r="A2840" s="376" t="s">
        <v>746</v>
      </c>
      <c r="B2840" s="381" t="s">
        <v>140</v>
      </c>
      <c r="C2840" s="378" t="s">
        <v>26</v>
      </c>
      <c r="D2840" s="378" t="s">
        <v>26</v>
      </c>
      <c r="E2840" s="378" t="s">
        <v>26</v>
      </c>
      <c r="F2840" s="378" t="s">
        <v>26</v>
      </c>
      <c r="G2840" s="378" t="s">
        <v>26</v>
      </c>
      <c r="H2840" s="379" t="s">
        <v>130</v>
      </c>
    </row>
    <row r="2841" spans="1:8" ht="31.5">
      <c r="A2841" s="376" t="s">
        <v>141</v>
      </c>
      <c r="B2841" s="381" t="s">
        <v>142</v>
      </c>
      <c r="C2841" s="378" t="s">
        <v>26</v>
      </c>
      <c r="D2841" s="378" t="s">
        <v>26</v>
      </c>
      <c r="E2841" s="378" t="s">
        <v>26</v>
      </c>
      <c r="F2841" s="378" t="s">
        <v>26</v>
      </c>
      <c r="G2841" s="378" t="s">
        <v>26</v>
      </c>
      <c r="H2841" s="379" t="s">
        <v>130</v>
      </c>
    </row>
    <row r="2842" spans="1:8" ht="18.75" customHeight="1">
      <c r="A2842" s="376">
        <v>3</v>
      </c>
      <c r="B2842" s="579" t="s">
        <v>143</v>
      </c>
      <c r="C2842" s="579"/>
      <c r="D2842" s="579"/>
      <c r="E2842" s="579"/>
      <c r="F2842" s="579"/>
      <c r="G2842" s="579"/>
      <c r="H2842" s="579"/>
    </row>
    <row r="2843" spans="1:8" ht="31.5">
      <c r="A2843" s="376" t="s">
        <v>756</v>
      </c>
      <c r="B2843" s="382" t="s">
        <v>144</v>
      </c>
      <c r="C2843" s="378" t="s">
        <v>26</v>
      </c>
      <c r="D2843" s="378" t="s">
        <v>26</v>
      </c>
      <c r="E2843" s="378" t="s">
        <v>26</v>
      </c>
      <c r="F2843" s="378" t="s">
        <v>26</v>
      </c>
      <c r="G2843" s="378" t="s">
        <v>26</v>
      </c>
      <c r="H2843" s="379" t="s">
        <v>130</v>
      </c>
    </row>
    <row r="2844" spans="1:8" ht="15.75">
      <c r="A2844" s="376" t="s">
        <v>757</v>
      </c>
      <c r="B2844" s="382" t="s">
        <v>145</v>
      </c>
      <c r="C2844" s="378" t="s">
        <v>315</v>
      </c>
      <c r="D2844" s="378" t="s">
        <v>308</v>
      </c>
      <c r="E2844" s="378" t="s">
        <v>26</v>
      </c>
      <c r="F2844" s="378" t="s">
        <v>26</v>
      </c>
      <c r="G2844" s="383">
        <v>0</v>
      </c>
      <c r="H2844" s="379"/>
    </row>
    <row r="2845" spans="1:8" ht="15.75">
      <c r="A2845" s="376" t="s">
        <v>147</v>
      </c>
      <c r="B2845" s="382" t="s">
        <v>148</v>
      </c>
      <c r="C2845" s="378" t="s">
        <v>300</v>
      </c>
      <c r="D2845" s="378" t="s">
        <v>316</v>
      </c>
      <c r="E2845" s="378" t="s">
        <v>26</v>
      </c>
      <c r="F2845" s="378" t="s">
        <v>26</v>
      </c>
      <c r="G2845" s="383">
        <v>0</v>
      </c>
      <c r="H2845" s="379"/>
    </row>
    <row r="2846" spans="1:8" ht="15.75">
      <c r="A2846" s="376" t="s">
        <v>151</v>
      </c>
      <c r="B2846" s="382" t="s">
        <v>152</v>
      </c>
      <c r="C2846" s="378" t="s">
        <v>317</v>
      </c>
      <c r="D2846" s="378" t="s">
        <v>318</v>
      </c>
      <c r="E2846" s="378" t="s">
        <v>26</v>
      </c>
      <c r="F2846" s="378" t="s">
        <v>26</v>
      </c>
      <c r="G2846" s="383">
        <v>0</v>
      </c>
      <c r="H2846" s="379"/>
    </row>
    <row r="2847" spans="1:8" ht="15.75">
      <c r="A2847" s="376" t="s">
        <v>155</v>
      </c>
      <c r="B2847" s="382" t="s">
        <v>156</v>
      </c>
      <c r="C2847" s="378" t="s">
        <v>284</v>
      </c>
      <c r="D2847" s="378" t="s">
        <v>319</v>
      </c>
      <c r="E2847" s="378" t="s">
        <v>26</v>
      </c>
      <c r="F2847" s="378" t="s">
        <v>26</v>
      </c>
      <c r="G2847" s="383">
        <v>0</v>
      </c>
      <c r="H2847" s="379"/>
    </row>
    <row r="2848" spans="1:8" ht="18.75" customHeight="1">
      <c r="A2848" s="376">
        <v>4</v>
      </c>
      <c r="B2848" s="579" t="s">
        <v>159</v>
      </c>
      <c r="C2848" s="579"/>
      <c r="D2848" s="579"/>
      <c r="E2848" s="579"/>
      <c r="F2848" s="579"/>
      <c r="G2848" s="579"/>
      <c r="H2848" s="579"/>
    </row>
    <row r="2849" spans="1:8" ht="31.5">
      <c r="A2849" s="376" t="s">
        <v>160</v>
      </c>
      <c r="B2849" s="381" t="s">
        <v>161</v>
      </c>
      <c r="C2849" s="378" t="s">
        <v>26</v>
      </c>
      <c r="D2849" s="378" t="s">
        <v>26</v>
      </c>
      <c r="E2849" s="378" t="s">
        <v>26</v>
      </c>
      <c r="F2849" s="378" t="s">
        <v>26</v>
      </c>
      <c r="G2849" s="378" t="s">
        <v>26</v>
      </c>
      <c r="H2849" s="379" t="s">
        <v>130</v>
      </c>
    </row>
    <row r="2850" spans="1:8" ht="47.25">
      <c r="A2850" s="376" t="s">
        <v>162</v>
      </c>
      <c r="B2850" s="381" t="s">
        <v>163</v>
      </c>
      <c r="C2850" s="378" t="s">
        <v>26</v>
      </c>
      <c r="D2850" s="378" t="s">
        <v>26</v>
      </c>
      <c r="E2850" s="378" t="s">
        <v>26</v>
      </c>
      <c r="F2850" s="378" t="s">
        <v>26</v>
      </c>
      <c r="G2850" s="378" t="s">
        <v>26</v>
      </c>
      <c r="H2850" s="379" t="s">
        <v>130</v>
      </c>
    </row>
    <row r="2851" spans="1:8" ht="31.5">
      <c r="A2851" s="376" t="s">
        <v>164</v>
      </c>
      <c r="B2851" s="382" t="s">
        <v>165</v>
      </c>
      <c r="C2851" s="378" t="s">
        <v>26</v>
      </c>
      <c r="D2851" s="378" t="s">
        <v>26</v>
      </c>
      <c r="E2851" s="378" t="s">
        <v>26</v>
      </c>
      <c r="F2851" s="378" t="s">
        <v>26</v>
      </c>
      <c r="G2851" s="378" t="s">
        <v>26</v>
      </c>
      <c r="H2851" s="379" t="s">
        <v>130</v>
      </c>
    </row>
    <row r="2852" spans="1:8" ht="31.5">
      <c r="A2852" s="384" t="s">
        <v>166</v>
      </c>
      <c r="B2852" s="385" t="s">
        <v>167</v>
      </c>
      <c r="C2852" s="386" t="s">
        <v>26</v>
      </c>
      <c r="D2852" s="386" t="s">
        <v>26</v>
      </c>
      <c r="E2852" s="386" t="s">
        <v>26</v>
      </c>
      <c r="F2852" s="386" t="s">
        <v>26</v>
      </c>
      <c r="G2852" s="386" t="s">
        <v>26</v>
      </c>
      <c r="H2852" s="387" t="s">
        <v>130</v>
      </c>
    </row>
    <row r="2853" spans="1:8" ht="15.75">
      <c r="A2853" s="388"/>
      <c r="B2853" s="389"/>
      <c r="C2853" s="390"/>
      <c r="D2853" s="390"/>
      <c r="E2853" s="390"/>
      <c r="F2853" s="390"/>
      <c r="G2853" s="390"/>
      <c r="H2853" s="98"/>
    </row>
    <row r="2854" spans="1:8" ht="18.75" customHeight="1">
      <c r="A2854" s="580" t="s">
        <v>168</v>
      </c>
      <c r="B2854" s="580"/>
      <c r="C2854" s="580"/>
      <c r="D2854" s="580"/>
      <c r="E2854" s="580"/>
      <c r="F2854" s="580"/>
      <c r="G2854" s="580"/>
      <c r="H2854" s="580"/>
    </row>
    <row r="2855" spans="1:8" ht="15.75">
      <c r="A2855" s="391"/>
      <c r="B2855" s="391"/>
      <c r="C2855" s="391"/>
      <c r="D2855" s="391"/>
      <c r="E2855" s="391"/>
      <c r="F2855" s="391"/>
      <c r="G2855" s="391"/>
      <c r="H2855" s="391"/>
    </row>
    <row r="2856" spans="1:8" ht="15.75">
      <c r="A2856" s="391"/>
      <c r="B2856" s="391"/>
      <c r="C2856" s="391"/>
      <c r="D2856" s="391"/>
      <c r="E2856" s="391"/>
      <c r="F2856" s="391"/>
      <c r="G2856" s="391"/>
      <c r="H2856" s="391"/>
    </row>
    <row r="2857" ht="15.75">
      <c r="H2857" s="6" t="s">
        <v>113</v>
      </c>
    </row>
    <row r="2858" ht="15.75">
      <c r="H2858" s="6" t="s">
        <v>114</v>
      </c>
    </row>
    <row r="2859" ht="15.75">
      <c r="H2859" s="6" t="s">
        <v>115</v>
      </c>
    </row>
    <row r="2860" ht="15.75">
      <c r="H2860" s="6"/>
    </row>
    <row r="2861" spans="1:8" ht="18.75" customHeight="1">
      <c r="A2861" s="622" t="s">
        <v>116</v>
      </c>
      <c r="B2861" s="622"/>
      <c r="C2861" s="622"/>
      <c r="D2861" s="622"/>
      <c r="E2861" s="622"/>
      <c r="F2861" s="622"/>
      <c r="G2861" s="622"/>
      <c r="H2861" s="622"/>
    </row>
    <row r="2862" spans="1:8" ht="18.75" customHeight="1">
      <c r="A2862" s="622" t="s">
        <v>117</v>
      </c>
      <c r="B2862" s="622"/>
      <c r="C2862" s="622"/>
      <c r="D2862" s="622"/>
      <c r="E2862" s="622"/>
      <c r="F2862" s="622"/>
      <c r="G2862" s="622"/>
      <c r="H2862" s="622"/>
    </row>
    <row r="2863" ht="15.75">
      <c r="H2863" s="6" t="s">
        <v>562</v>
      </c>
    </row>
    <row r="2864" ht="15.75">
      <c r="H2864" s="6" t="s">
        <v>769</v>
      </c>
    </row>
    <row r="2865" ht="15.75">
      <c r="H2865" s="6" t="s">
        <v>770</v>
      </c>
    </row>
    <row r="2866" ht="15.75">
      <c r="H2866" s="361" t="str">
        <f>H11</f>
        <v>                         Добровольский К.А.</v>
      </c>
    </row>
    <row r="2867" ht="15.75">
      <c r="H2867" s="6" t="s">
        <v>772</v>
      </c>
    </row>
    <row r="2868" ht="15.75">
      <c r="H2868" s="6" t="s">
        <v>567</v>
      </c>
    </row>
    <row r="2869" ht="15.75">
      <c r="A2869" s="362"/>
    </row>
    <row r="2870" ht="15.75">
      <c r="A2870" s="3" t="s">
        <v>322</v>
      </c>
    </row>
    <row r="2871" spans="1:8" ht="18.75" customHeight="1">
      <c r="A2871" s="623" t="s">
        <v>120</v>
      </c>
      <c r="B2871" s="623"/>
      <c r="C2871" s="623"/>
      <c r="D2871" s="623"/>
      <c r="E2871" s="623"/>
      <c r="F2871" s="623"/>
      <c r="G2871" s="623"/>
      <c r="H2871" s="623"/>
    </row>
    <row r="2872" spans="1:8" ht="15.75">
      <c r="A2872" s="364"/>
      <c r="B2872" s="364"/>
      <c r="C2872" s="366"/>
      <c r="D2872" s="366"/>
      <c r="E2872" s="366"/>
      <c r="F2872" s="366"/>
      <c r="G2872" s="366"/>
      <c r="H2872" s="366"/>
    </row>
    <row r="2873" spans="1:8" ht="16.5" customHeight="1">
      <c r="A2873" s="581" t="s">
        <v>121</v>
      </c>
      <c r="B2873" s="559" t="s">
        <v>122</v>
      </c>
      <c r="C2873" s="560" t="s">
        <v>123</v>
      </c>
      <c r="D2873" s="560"/>
      <c r="E2873" s="560"/>
      <c r="F2873" s="560"/>
      <c r="G2873" s="561" t="s">
        <v>124</v>
      </c>
      <c r="H2873" s="581" t="s">
        <v>125</v>
      </c>
    </row>
    <row r="2874" spans="1:8" ht="15.75">
      <c r="A2874" s="581"/>
      <c r="B2874" s="559"/>
      <c r="C2874" s="560"/>
      <c r="D2874" s="560"/>
      <c r="E2874" s="560"/>
      <c r="F2874" s="560"/>
      <c r="G2874" s="561"/>
      <c r="H2874" s="581"/>
    </row>
    <row r="2875" spans="1:8" ht="31.5">
      <c r="A2875" s="581"/>
      <c r="B2875" s="559"/>
      <c r="C2875" s="369" t="s">
        <v>126</v>
      </c>
      <c r="D2875" s="369" t="s">
        <v>127</v>
      </c>
      <c r="E2875" s="370" t="s">
        <v>126</v>
      </c>
      <c r="F2875" s="371" t="s">
        <v>127</v>
      </c>
      <c r="G2875" s="561"/>
      <c r="H2875" s="581"/>
    </row>
    <row r="2876" spans="1:8" ht="15.75">
      <c r="A2876" s="367">
        <v>1</v>
      </c>
      <c r="B2876" s="367">
        <v>2</v>
      </c>
      <c r="C2876" s="372">
        <v>3</v>
      </c>
      <c r="D2876" s="372">
        <v>4</v>
      </c>
      <c r="E2876" s="373"/>
      <c r="F2876" s="374"/>
      <c r="G2876" s="368">
        <v>5</v>
      </c>
      <c r="H2876" s="367">
        <v>6</v>
      </c>
    </row>
    <row r="2877" spans="1:8" ht="18.75" customHeight="1">
      <c r="A2877" s="375">
        <v>1</v>
      </c>
      <c r="B2877" s="582" t="s">
        <v>128</v>
      </c>
      <c r="C2877" s="582"/>
      <c r="D2877" s="582"/>
      <c r="E2877" s="582"/>
      <c r="F2877" s="582"/>
      <c r="G2877" s="582"/>
      <c r="H2877" s="582"/>
    </row>
    <row r="2878" spans="1:8" ht="15.75">
      <c r="A2878" s="376" t="s">
        <v>594</v>
      </c>
      <c r="B2878" s="377" t="s">
        <v>129</v>
      </c>
      <c r="C2878" s="378" t="s">
        <v>26</v>
      </c>
      <c r="D2878" s="378" t="s">
        <v>26</v>
      </c>
      <c r="E2878" s="378" t="s">
        <v>26</v>
      </c>
      <c r="F2878" s="378" t="s">
        <v>26</v>
      </c>
      <c r="G2878" s="378" t="s">
        <v>26</v>
      </c>
      <c r="H2878" s="379" t="s">
        <v>130</v>
      </c>
    </row>
    <row r="2879" spans="1:8" ht="15.75">
      <c r="A2879" s="376" t="s">
        <v>735</v>
      </c>
      <c r="B2879" s="377" t="s">
        <v>131</v>
      </c>
      <c r="C2879" s="378" t="s">
        <v>26</v>
      </c>
      <c r="D2879" s="378" t="s">
        <v>26</v>
      </c>
      <c r="E2879" s="378" t="s">
        <v>26</v>
      </c>
      <c r="F2879" s="378" t="s">
        <v>26</v>
      </c>
      <c r="G2879" s="378" t="s">
        <v>26</v>
      </c>
      <c r="H2879" s="379" t="s">
        <v>130</v>
      </c>
    </row>
    <row r="2880" spans="1:8" ht="31.5">
      <c r="A2880" s="376" t="s">
        <v>737</v>
      </c>
      <c r="B2880" s="381" t="s">
        <v>132</v>
      </c>
      <c r="C2880" s="566" t="s">
        <v>101</v>
      </c>
      <c r="D2880" s="566" t="s">
        <v>102</v>
      </c>
      <c r="E2880" s="378" t="s">
        <v>26</v>
      </c>
      <c r="F2880" s="378" t="s">
        <v>26</v>
      </c>
      <c r="G2880" s="378" t="s">
        <v>26</v>
      </c>
      <c r="H2880" s="379" t="s">
        <v>130</v>
      </c>
    </row>
    <row r="2881" spans="1:8" ht="47.25">
      <c r="A2881" s="376" t="s">
        <v>739</v>
      </c>
      <c r="B2881" s="381" t="s">
        <v>133</v>
      </c>
      <c r="C2881" s="566" t="s">
        <v>103</v>
      </c>
      <c r="D2881" s="566" t="s">
        <v>104</v>
      </c>
      <c r="E2881" s="378" t="s">
        <v>26</v>
      </c>
      <c r="F2881" s="378" t="s">
        <v>26</v>
      </c>
      <c r="G2881" s="378" t="s">
        <v>26</v>
      </c>
      <c r="H2881" s="379" t="s">
        <v>130</v>
      </c>
    </row>
    <row r="2882" spans="1:8" ht="15.75">
      <c r="A2882" s="376" t="s">
        <v>852</v>
      </c>
      <c r="B2882" s="382" t="s">
        <v>134</v>
      </c>
      <c r="C2882" s="566" t="s">
        <v>105</v>
      </c>
      <c r="D2882" s="566" t="s">
        <v>106</v>
      </c>
      <c r="E2882" s="378" t="s">
        <v>26</v>
      </c>
      <c r="F2882" s="378" t="s">
        <v>26</v>
      </c>
      <c r="G2882" s="378" t="s">
        <v>26</v>
      </c>
      <c r="H2882" s="379" t="s">
        <v>130</v>
      </c>
    </row>
    <row r="2883" spans="1:8" ht="15.75">
      <c r="A2883" s="376" t="s">
        <v>853</v>
      </c>
      <c r="B2883" s="382" t="s">
        <v>135</v>
      </c>
      <c r="C2883" s="566" t="s">
        <v>101</v>
      </c>
      <c r="D2883" s="566" t="s">
        <v>107</v>
      </c>
      <c r="E2883" s="378" t="s">
        <v>26</v>
      </c>
      <c r="F2883" s="378" t="s">
        <v>26</v>
      </c>
      <c r="G2883" s="378" t="s">
        <v>26</v>
      </c>
      <c r="H2883" s="379" t="s">
        <v>130</v>
      </c>
    </row>
    <row r="2884" spans="1:8" ht="18.75" customHeight="1">
      <c r="A2884" s="376">
        <v>2</v>
      </c>
      <c r="B2884" s="579" t="s">
        <v>136</v>
      </c>
      <c r="C2884" s="579"/>
      <c r="D2884" s="579"/>
      <c r="E2884" s="579"/>
      <c r="F2884" s="579"/>
      <c r="G2884" s="579"/>
      <c r="H2884" s="579"/>
    </row>
    <row r="2885" spans="1:8" ht="31.5">
      <c r="A2885" s="376" t="s">
        <v>743</v>
      </c>
      <c r="B2885" s="381" t="s">
        <v>137</v>
      </c>
      <c r="C2885" s="378" t="s">
        <v>284</v>
      </c>
      <c r="D2885" s="378" t="s">
        <v>285</v>
      </c>
      <c r="E2885" s="378" t="s">
        <v>26</v>
      </c>
      <c r="F2885" s="378" t="s">
        <v>26</v>
      </c>
      <c r="G2885" s="383">
        <v>0</v>
      </c>
      <c r="H2885" s="379"/>
    </row>
    <row r="2886" spans="1:8" ht="47.25">
      <c r="A2886" s="376" t="s">
        <v>746</v>
      </c>
      <c r="B2886" s="381" t="s">
        <v>140</v>
      </c>
      <c r="C2886" s="378" t="s">
        <v>26</v>
      </c>
      <c r="D2886" s="378" t="s">
        <v>26</v>
      </c>
      <c r="E2886" s="378" t="s">
        <v>26</v>
      </c>
      <c r="F2886" s="378" t="s">
        <v>26</v>
      </c>
      <c r="G2886" s="378" t="s">
        <v>26</v>
      </c>
      <c r="H2886" s="379" t="s">
        <v>130</v>
      </c>
    </row>
    <row r="2887" spans="1:8" ht="31.5">
      <c r="A2887" s="376" t="s">
        <v>141</v>
      </c>
      <c r="B2887" s="381" t="s">
        <v>142</v>
      </c>
      <c r="C2887" s="378" t="s">
        <v>26</v>
      </c>
      <c r="D2887" s="378" t="s">
        <v>26</v>
      </c>
      <c r="E2887" s="378" t="s">
        <v>26</v>
      </c>
      <c r="F2887" s="378" t="s">
        <v>26</v>
      </c>
      <c r="G2887" s="378" t="s">
        <v>26</v>
      </c>
      <c r="H2887" s="379" t="s">
        <v>130</v>
      </c>
    </row>
    <row r="2888" spans="1:8" ht="18.75" customHeight="1">
      <c r="A2888" s="376">
        <v>3</v>
      </c>
      <c r="B2888" s="579" t="s">
        <v>143</v>
      </c>
      <c r="C2888" s="579"/>
      <c r="D2888" s="579"/>
      <c r="E2888" s="579"/>
      <c r="F2888" s="579"/>
      <c r="G2888" s="579"/>
      <c r="H2888" s="579"/>
    </row>
    <row r="2889" spans="1:8" ht="31.5">
      <c r="A2889" s="376" t="s">
        <v>756</v>
      </c>
      <c r="B2889" s="382" t="s">
        <v>144</v>
      </c>
      <c r="C2889" s="378" t="s">
        <v>26</v>
      </c>
      <c r="D2889" s="378" t="s">
        <v>26</v>
      </c>
      <c r="E2889" s="378" t="s">
        <v>26</v>
      </c>
      <c r="F2889" s="378" t="s">
        <v>26</v>
      </c>
      <c r="G2889" s="378" t="s">
        <v>26</v>
      </c>
      <c r="H2889" s="379" t="s">
        <v>130</v>
      </c>
    </row>
    <row r="2890" spans="1:8" ht="15.75">
      <c r="A2890" s="376" t="s">
        <v>757</v>
      </c>
      <c r="B2890" s="382" t="s">
        <v>145</v>
      </c>
      <c r="C2890" s="378" t="s">
        <v>286</v>
      </c>
      <c r="D2890" s="378" t="s">
        <v>287</v>
      </c>
      <c r="E2890" s="378" t="s">
        <v>26</v>
      </c>
      <c r="F2890" s="378" t="s">
        <v>26</v>
      </c>
      <c r="G2890" s="383">
        <v>0</v>
      </c>
      <c r="H2890" s="379"/>
    </row>
    <row r="2891" spans="1:8" ht="15.75">
      <c r="A2891" s="376" t="s">
        <v>147</v>
      </c>
      <c r="B2891" s="382" t="s">
        <v>148</v>
      </c>
      <c r="C2891" s="378" t="s">
        <v>288</v>
      </c>
      <c r="D2891" s="378" t="s">
        <v>289</v>
      </c>
      <c r="E2891" s="378" t="s">
        <v>26</v>
      </c>
      <c r="F2891" s="378" t="s">
        <v>26</v>
      </c>
      <c r="G2891" s="383">
        <v>0</v>
      </c>
      <c r="H2891" s="379"/>
    </row>
    <row r="2892" spans="1:8" ht="15.75">
      <c r="A2892" s="376" t="s">
        <v>151</v>
      </c>
      <c r="B2892" s="382" t="s">
        <v>152</v>
      </c>
      <c r="C2892" s="378" t="s">
        <v>290</v>
      </c>
      <c r="D2892" s="378" t="s">
        <v>291</v>
      </c>
      <c r="E2892" s="378" t="s">
        <v>26</v>
      </c>
      <c r="F2892" s="378" t="s">
        <v>26</v>
      </c>
      <c r="G2892" s="383">
        <v>0</v>
      </c>
      <c r="H2892" s="379"/>
    </row>
    <row r="2893" spans="1:8" ht="15.75">
      <c r="A2893" s="376" t="s">
        <v>155</v>
      </c>
      <c r="B2893" s="382" t="s">
        <v>156</v>
      </c>
      <c r="C2893" s="378" t="s">
        <v>292</v>
      </c>
      <c r="D2893" s="378" t="s">
        <v>285</v>
      </c>
      <c r="E2893" s="378" t="s">
        <v>26</v>
      </c>
      <c r="F2893" s="378" t="s">
        <v>26</v>
      </c>
      <c r="G2893" s="383">
        <v>0</v>
      </c>
      <c r="H2893" s="379"/>
    </row>
    <row r="2894" spans="1:8" ht="18.75" customHeight="1">
      <c r="A2894" s="376">
        <v>4</v>
      </c>
      <c r="B2894" s="579" t="s">
        <v>159</v>
      </c>
      <c r="C2894" s="579"/>
      <c r="D2894" s="579"/>
      <c r="E2894" s="579"/>
      <c r="F2894" s="579"/>
      <c r="G2894" s="579"/>
      <c r="H2894" s="579"/>
    </row>
    <row r="2895" spans="1:8" ht="31.5">
      <c r="A2895" s="376" t="s">
        <v>160</v>
      </c>
      <c r="B2895" s="381" t="s">
        <v>161</v>
      </c>
      <c r="C2895" s="378" t="s">
        <v>26</v>
      </c>
      <c r="D2895" s="378" t="s">
        <v>26</v>
      </c>
      <c r="E2895" s="378" t="s">
        <v>26</v>
      </c>
      <c r="F2895" s="378" t="s">
        <v>26</v>
      </c>
      <c r="G2895" s="378" t="s">
        <v>26</v>
      </c>
      <c r="H2895" s="379" t="s">
        <v>130</v>
      </c>
    </row>
    <row r="2896" spans="1:8" ht="47.25">
      <c r="A2896" s="376" t="s">
        <v>162</v>
      </c>
      <c r="B2896" s="381" t="s">
        <v>163</v>
      </c>
      <c r="C2896" s="378" t="s">
        <v>26</v>
      </c>
      <c r="D2896" s="378" t="s">
        <v>26</v>
      </c>
      <c r="E2896" s="378" t="s">
        <v>26</v>
      </c>
      <c r="F2896" s="378" t="s">
        <v>26</v>
      </c>
      <c r="G2896" s="378" t="s">
        <v>26</v>
      </c>
      <c r="H2896" s="379" t="s">
        <v>130</v>
      </c>
    </row>
    <row r="2897" spans="1:8" ht="31.5">
      <c r="A2897" s="376" t="s">
        <v>164</v>
      </c>
      <c r="B2897" s="382" t="s">
        <v>165</v>
      </c>
      <c r="C2897" s="378" t="s">
        <v>26</v>
      </c>
      <c r="D2897" s="378" t="s">
        <v>26</v>
      </c>
      <c r="E2897" s="378" t="s">
        <v>26</v>
      </c>
      <c r="F2897" s="378" t="s">
        <v>26</v>
      </c>
      <c r="G2897" s="378" t="s">
        <v>26</v>
      </c>
      <c r="H2897" s="379" t="s">
        <v>130</v>
      </c>
    </row>
    <row r="2898" spans="1:8" ht="31.5">
      <c r="A2898" s="384" t="s">
        <v>166</v>
      </c>
      <c r="B2898" s="385" t="s">
        <v>167</v>
      </c>
      <c r="C2898" s="386" t="s">
        <v>26</v>
      </c>
      <c r="D2898" s="386" t="s">
        <v>26</v>
      </c>
      <c r="E2898" s="386" t="s">
        <v>26</v>
      </c>
      <c r="F2898" s="386" t="s">
        <v>26</v>
      </c>
      <c r="G2898" s="386" t="s">
        <v>26</v>
      </c>
      <c r="H2898" s="387" t="s">
        <v>130</v>
      </c>
    </row>
    <row r="2899" spans="1:8" ht="15.75">
      <c r="A2899" s="388"/>
      <c r="B2899" s="389"/>
      <c r="C2899" s="390"/>
      <c r="D2899" s="390"/>
      <c r="E2899" s="390"/>
      <c r="F2899" s="390"/>
      <c r="G2899" s="390"/>
      <c r="H2899" s="98"/>
    </row>
    <row r="2900" spans="1:8" ht="18.75" customHeight="1">
      <c r="A2900" s="580" t="s">
        <v>168</v>
      </c>
      <c r="B2900" s="580"/>
      <c r="C2900" s="580"/>
      <c r="D2900" s="580"/>
      <c r="E2900" s="580"/>
      <c r="F2900" s="580"/>
      <c r="G2900" s="580"/>
      <c r="H2900" s="580"/>
    </row>
    <row r="2901" spans="1:8" ht="15.75">
      <c r="A2901" s="391"/>
      <c r="B2901" s="391"/>
      <c r="C2901" s="391"/>
      <c r="D2901" s="391"/>
      <c r="E2901" s="391"/>
      <c r="F2901" s="391"/>
      <c r="G2901" s="391"/>
      <c r="H2901" s="391"/>
    </row>
    <row r="2902" spans="1:8" ht="15.75">
      <c r="A2902" s="391"/>
      <c r="B2902" s="391"/>
      <c r="C2902" s="391"/>
      <c r="D2902" s="391"/>
      <c r="E2902" s="391"/>
      <c r="F2902" s="391"/>
      <c r="G2902" s="391"/>
      <c r="H2902" s="391"/>
    </row>
    <row r="2903" ht="15.75">
      <c r="H2903" s="6" t="s">
        <v>113</v>
      </c>
    </row>
    <row r="2904" ht="15.75">
      <c r="H2904" s="6" t="s">
        <v>114</v>
      </c>
    </row>
    <row r="2905" ht="15.75">
      <c r="H2905" s="6" t="s">
        <v>115</v>
      </c>
    </row>
    <row r="2906" ht="15.75">
      <c r="H2906" s="6"/>
    </row>
    <row r="2907" spans="1:8" ht="18.75" customHeight="1">
      <c r="A2907" s="622" t="s">
        <v>116</v>
      </c>
      <c r="B2907" s="622"/>
      <c r="C2907" s="622"/>
      <c r="D2907" s="622"/>
      <c r="E2907" s="622"/>
      <c r="F2907" s="622"/>
      <c r="G2907" s="622"/>
      <c r="H2907" s="622"/>
    </row>
    <row r="2908" spans="1:8" ht="18.75" customHeight="1">
      <c r="A2908" s="622" t="s">
        <v>117</v>
      </c>
      <c r="B2908" s="622"/>
      <c r="C2908" s="622"/>
      <c r="D2908" s="622"/>
      <c r="E2908" s="622"/>
      <c r="F2908" s="622"/>
      <c r="G2908" s="622"/>
      <c r="H2908" s="622"/>
    </row>
    <row r="2909" ht="15.75">
      <c r="H2909" s="6" t="s">
        <v>562</v>
      </c>
    </row>
    <row r="2910" ht="15.75">
      <c r="H2910" s="6" t="s">
        <v>769</v>
      </c>
    </row>
    <row r="2911" ht="15.75">
      <c r="H2911" s="6" t="s">
        <v>770</v>
      </c>
    </row>
    <row r="2912" ht="15.75">
      <c r="H2912" s="361" t="str">
        <f>H11</f>
        <v>                         Добровольский К.А.</v>
      </c>
    </row>
    <row r="2913" ht="15.75">
      <c r="H2913" s="6" t="s">
        <v>772</v>
      </c>
    </row>
    <row r="2914" ht="15.75">
      <c r="H2914" s="6" t="s">
        <v>567</v>
      </c>
    </row>
    <row r="2915" ht="15.75">
      <c r="A2915" s="362"/>
    </row>
    <row r="2916" ht="15.75">
      <c r="A2916" s="3" t="s">
        <v>323</v>
      </c>
    </row>
    <row r="2917" spans="1:8" ht="18.75" customHeight="1">
      <c r="A2917" s="623" t="s">
        <v>120</v>
      </c>
      <c r="B2917" s="623"/>
      <c r="C2917" s="623"/>
      <c r="D2917" s="623"/>
      <c r="E2917" s="623"/>
      <c r="F2917" s="623"/>
      <c r="G2917" s="623"/>
      <c r="H2917" s="623"/>
    </row>
    <row r="2918" spans="1:8" ht="15.75">
      <c r="A2918" s="364"/>
      <c r="B2918" s="364"/>
      <c r="C2918" s="366"/>
      <c r="D2918" s="366"/>
      <c r="E2918" s="366"/>
      <c r="F2918" s="366"/>
      <c r="G2918" s="366"/>
      <c r="H2918" s="366"/>
    </row>
    <row r="2919" spans="1:8" ht="16.5" customHeight="1">
      <c r="A2919" s="581" t="s">
        <v>121</v>
      </c>
      <c r="B2919" s="559" t="s">
        <v>122</v>
      </c>
      <c r="C2919" s="560" t="s">
        <v>123</v>
      </c>
      <c r="D2919" s="560"/>
      <c r="E2919" s="560"/>
      <c r="F2919" s="560"/>
      <c r="G2919" s="561" t="s">
        <v>124</v>
      </c>
      <c r="H2919" s="581" t="s">
        <v>125</v>
      </c>
    </row>
    <row r="2920" spans="1:8" ht="15.75">
      <c r="A2920" s="581"/>
      <c r="B2920" s="559"/>
      <c r="C2920" s="560"/>
      <c r="D2920" s="560"/>
      <c r="E2920" s="560"/>
      <c r="F2920" s="560"/>
      <c r="G2920" s="561"/>
      <c r="H2920" s="581"/>
    </row>
    <row r="2921" spans="1:8" ht="31.5">
      <c r="A2921" s="581"/>
      <c r="B2921" s="559"/>
      <c r="C2921" s="369" t="s">
        <v>126</v>
      </c>
      <c r="D2921" s="369" t="s">
        <v>127</v>
      </c>
      <c r="E2921" s="370" t="s">
        <v>126</v>
      </c>
      <c r="F2921" s="371" t="s">
        <v>127</v>
      </c>
      <c r="G2921" s="561"/>
      <c r="H2921" s="581"/>
    </row>
    <row r="2922" spans="1:8" ht="15.75">
      <c r="A2922" s="367">
        <v>1</v>
      </c>
      <c r="B2922" s="367">
        <v>2</v>
      </c>
      <c r="C2922" s="372">
        <v>3</v>
      </c>
      <c r="D2922" s="372">
        <v>4</v>
      </c>
      <c r="E2922" s="373"/>
      <c r="F2922" s="374"/>
      <c r="G2922" s="368">
        <v>5</v>
      </c>
      <c r="H2922" s="367">
        <v>6</v>
      </c>
    </row>
    <row r="2923" spans="1:8" ht="18.75" customHeight="1">
      <c r="A2923" s="375">
        <v>1</v>
      </c>
      <c r="B2923" s="582" t="s">
        <v>128</v>
      </c>
      <c r="C2923" s="582"/>
      <c r="D2923" s="582"/>
      <c r="E2923" s="582"/>
      <c r="F2923" s="582"/>
      <c r="G2923" s="582"/>
      <c r="H2923" s="582"/>
    </row>
    <row r="2924" spans="1:8" ht="15.75">
      <c r="A2924" s="376" t="s">
        <v>594</v>
      </c>
      <c r="B2924" s="377" t="s">
        <v>129</v>
      </c>
      <c r="C2924" s="378" t="s">
        <v>26</v>
      </c>
      <c r="D2924" s="378" t="s">
        <v>26</v>
      </c>
      <c r="E2924" s="378" t="s">
        <v>26</v>
      </c>
      <c r="F2924" s="378" t="s">
        <v>26</v>
      </c>
      <c r="G2924" s="378" t="s">
        <v>26</v>
      </c>
      <c r="H2924" s="379" t="s">
        <v>130</v>
      </c>
    </row>
    <row r="2925" spans="1:8" ht="15.75">
      <c r="A2925" s="376" t="s">
        <v>735</v>
      </c>
      <c r="B2925" s="377" t="s">
        <v>131</v>
      </c>
      <c r="C2925" s="378" t="s">
        <v>26</v>
      </c>
      <c r="D2925" s="378" t="s">
        <v>26</v>
      </c>
      <c r="E2925" s="378" t="s">
        <v>26</v>
      </c>
      <c r="F2925" s="378" t="s">
        <v>26</v>
      </c>
      <c r="G2925" s="378" t="s">
        <v>26</v>
      </c>
      <c r="H2925" s="379" t="s">
        <v>130</v>
      </c>
    </row>
    <row r="2926" spans="1:8" ht="31.5">
      <c r="A2926" s="376" t="s">
        <v>737</v>
      </c>
      <c r="B2926" s="381" t="s">
        <v>132</v>
      </c>
      <c r="C2926" s="566" t="s">
        <v>101</v>
      </c>
      <c r="D2926" s="566" t="s">
        <v>102</v>
      </c>
      <c r="E2926" s="378" t="s">
        <v>26</v>
      </c>
      <c r="F2926" s="378" t="s">
        <v>26</v>
      </c>
      <c r="G2926" s="378" t="s">
        <v>26</v>
      </c>
      <c r="H2926" s="379" t="s">
        <v>130</v>
      </c>
    </row>
    <row r="2927" spans="1:8" ht="47.25">
      <c r="A2927" s="376" t="s">
        <v>739</v>
      </c>
      <c r="B2927" s="381" t="s">
        <v>133</v>
      </c>
      <c r="C2927" s="566" t="s">
        <v>103</v>
      </c>
      <c r="D2927" s="566" t="s">
        <v>104</v>
      </c>
      <c r="E2927" s="378" t="s">
        <v>26</v>
      </c>
      <c r="F2927" s="378" t="s">
        <v>26</v>
      </c>
      <c r="G2927" s="378" t="s">
        <v>26</v>
      </c>
      <c r="H2927" s="379" t="s">
        <v>130</v>
      </c>
    </row>
    <row r="2928" spans="1:8" ht="15.75">
      <c r="A2928" s="376" t="s">
        <v>852</v>
      </c>
      <c r="B2928" s="382" t="s">
        <v>134</v>
      </c>
      <c r="C2928" s="566" t="s">
        <v>105</v>
      </c>
      <c r="D2928" s="566" t="s">
        <v>106</v>
      </c>
      <c r="E2928" s="378" t="s">
        <v>26</v>
      </c>
      <c r="F2928" s="378" t="s">
        <v>26</v>
      </c>
      <c r="G2928" s="378" t="s">
        <v>26</v>
      </c>
      <c r="H2928" s="379" t="s">
        <v>130</v>
      </c>
    </row>
    <row r="2929" spans="1:8" ht="15.75">
      <c r="A2929" s="376" t="s">
        <v>853</v>
      </c>
      <c r="B2929" s="382" t="s">
        <v>135</v>
      </c>
      <c r="C2929" s="566" t="s">
        <v>101</v>
      </c>
      <c r="D2929" s="566" t="s">
        <v>107</v>
      </c>
      <c r="E2929" s="378" t="s">
        <v>26</v>
      </c>
      <c r="F2929" s="378" t="s">
        <v>26</v>
      </c>
      <c r="G2929" s="378" t="s">
        <v>26</v>
      </c>
      <c r="H2929" s="379" t="s">
        <v>130</v>
      </c>
    </row>
    <row r="2930" spans="1:8" ht="18.75" customHeight="1">
      <c r="A2930" s="376">
        <v>2</v>
      </c>
      <c r="B2930" s="579" t="s">
        <v>136</v>
      </c>
      <c r="C2930" s="579"/>
      <c r="D2930" s="579"/>
      <c r="E2930" s="579"/>
      <c r="F2930" s="579"/>
      <c r="G2930" s="579"/>
      <c r="H2930" s="579"/>
    </row>
    <row r="2931" spans="1:8" ht="31.5">
      <c r="A2931" s="376" t="s">
        <v>743</v>
      </c>
      <c r="B2931" s="381" t="s">
        <v>137</v>
      </c>
      <c r="C2931" s="378" t="s">
        <v>284</v>
      </c>
      <c r="D2931" s="378" t="s">
        <v>285</v>
      </c>
      <c r="E2931" s="378" t="s">
        <v>26</v>
      </c>
      <c r="F2931" s="378" t="s">
        <v>26</v>
      </c>
      <c r="G2931" s="383">
        <v>0</v>
      </c>
      <c r="H2931" s="379"/>
    </row>
    <row r="2932" spans="1:8" ht="47.25">
      <c r="A2932" s="376" t="s">
        <v>746</v>
      </c>
      <c r="B2932" s="381" t="s">
        <v>140</v>
      </c>
      <c r="C2932" s="378" t="s">
        <v>26</v>
      </c>
      <c r="D2932" s="378" t="s">
        <v>26</v>
      </c>
      <c r="E2932" s="378" t="s">
        <v>26</v>
      </c>
      <c r="F2932" s="378" t="s">
        <v>26</v>
      </c>
      <c r="G2932" s="378" t="s">
        <v>26</v>
      </c>
      <c r="H2932" s="379" t="s">
        <v>130</v>
      </c>
    </row>
    <row r="2933" spans="1:8" ht="31.5">
      <c r="A2933" s="376" t="s">
        <v>141</v>
      </c>
      <c r="B2933" s="381" t="s">
        <v>142</v>
      </c>
      <c r="C2933" s="378" t="s">
        <v>26</v>
      </c>
      <c r="D2933" s="378" t="s">
        <v>26</v>
      </c>
      <c r="E2933" s="378" t="s">
        <v>26</v>
      </c>
      <c r="F2933" s="378" t="s">
        <v>26</v>
      </c>
      <c r="G2933" s="378" t="s">
        <v>26</v>
      </c>
      <c r="H2933" s="379" t="s">
        <v>130</v>
      </c>
    </row>
    <row r="2934" spans="1:8" ht="18.75" customHeight="1">
      <c r="A2934" s="376">
        <v>3</v>
      </c>
      <c r="B2934" s="579" t="s">
        <v>143</v>
      </c>
      <c r="C2934" s="579"/>
      <c r="D2934" s="579"/>
      <c r="E2934" s="579"/>
      <c r="F2934" s="579"/>
      <c r="G2934" s="579"/>
      <c r="H2934" s="579"/>
    </row>
    <row r="2935" spans="1:8" ht="31.5">
      <c r="A2935" s="376" t="s">
        <v>756</v>
      </c>
      <c r="B2935" s="382" t="s">
        <v>144</v>
      </c>
      <c r="C2935" s="378" t="s">
        <v>26</v>
      </c>
      <c r="D2935" s="378" t="s">
        <v>26</v>
      </c>
      <c r="E2935" s="378" t="s">
        <v>26</v>
      </c>
      <c r="F2935" s="378" t="s">
        <v>26</v>
      </c>
      <c r="G2935" s="378" t="s">
        <v>26</v>
      </c>
      <c r="H2935" s="379" t="s">
        <v>130</v>
      </c>
    </row>
    <row r="2936" spans="1:8" ht="15.75">
      <c r="A2936" s="376" t="s">
        <v>757</v>
      </c>
      <c r="B2936" s="382" t="s">
        <v>145</v>
      </c>
      <c r="C2936" s="378" t="s">
        <v>286</v>
      </c>
      <c r="D2936" s="378" t="s">
        <v>287</v>
      </c>
      <c r="E2936" s="378" t="s">
        <v>26</v>
      </c>
      <c r="F2936" s="378" t="s">
        <v>26</v>
      </c>
      <c r="G2936" s="383">
        <v>0</v>
      </c>
      <c r="H2936" s="379"/>
    </row>
    <row r="2937" spans="1:8" ht="15.75">
      <c r="A2937" s="376" t="s">
        <v>147</v>
      </c>
      <c r="B2937" s="382" t="s">
        <v>148</v>
      </c>
      <c r="C2937" s="378" t="s">
        <v>288</v>
      </c>
      <c r="D2937" s="378" t="s">
        <v>289</v>
      </c>
      <c r="E2937" s="378" t="s">
        <v>26</v>
      </c>
      <c r="F2937" s="378" t="s">
        <v>26</v>
      </c>
      <c r="G2937" s="383">
        <v>0</v>
      </c>
      <c r="H2937" s="379"/>
    </row>
    <row r="2938" spans="1:8" ht="15.75">
      <c r="A2938" s="376" t="s">
        <v>151</v>
      </c>
      <c r="B2938" s="382" t="s">
        <v>152</v>
      </c>
      <c r="C2938" s="378" t="s">
        <v>290</v>
      </c>
      <c r="D2938" s="378" t="s">
        <v>291</v>
      </c>
      <c r="E2938" s="378" t="s">
        <v>26</v>
      </c>
      <c r="F2938" s="378" t="s">
        <v>26</v>
      </c>
      <c r="G2938" s="383">
        <v>0</v>
      </c>
      <c r="H2938" s="379"/>
    </row>
    <row r="2939" spans="1:8" ht="15.75">
      <c r="A2939" s="376" t="s">
        <v>155</v>
      </c>
      <c r="B2939" s="382" t="s">
        <v>156</v>
      </c>
      <c r="C2939" s="378" t="s">
        <v>292</v>
      </c>
      <c r="D2939" s="378" t="s">
        <v>285</v>
      </c>
      <c r="E2939" s="378" t="s">
        <v>26</v>
      </c>
      <c r="F2939" s="378" t="s">
        <v>26</v>
      </c>
      <c r="G2939" s="383">
        <v>0</v>
      </c>
      <c r="H2939" s="379"/>
    </row>
    <row r="2940" spans="1:8" ht="18.75" customHeight="1">
      <c r="A2940" s="376">
        <v>4</v>
      </c>
      <c r="B2940" s="579" t="s">
        <v>159</v>
      </c>
      <c r="C2940" s="579"/>
      <c r="D2940" s="579"/>
      <c r="E2940" s="579"/>
      <c r="F2940" s="579"/>
      <c r="G2940" s="579"/>
      <c r="H2940" s="579"/>
    </row>
    <row r="2941" spans="1:8" ht="31.5">
      <c r="A2941" s="376" t="s">
        <v>160</v>
      </c>
      <c r="B2941" s="381" t="s">
        <v>161</v>
      </c>
      <c r="C2941" s="378" t="s">
        <v>26</v>
      </c>
      <c r="D2941" s="378" t="s">
        <v>26</v>
      </c>
      <c r="E2941" s="378" t="s">
        <v>26</v>
      </c>
      <c r="F2941" s="378" t="s">
        <v>26</v>
      </c>
      <c r="G2941" s="378" t="s">
        <v>26</v>
      </c>
      <c r="H2941" s="379" t="s">
        <v>130</v>
      </c>
    </row>
    <row r="2942" spans="1:8" ht="47.25">
      <c r="A2942" s="376" t="s">
        <v>162</v>
      </c>
      <c r="B2942" s="381" t="s">
        <v>163</v>
      </c>
      <c r="C2942" s="378" t="s">
        <v>26</v>
      </c>
      <c r="D2942" s="378" t="s">
        <v>26</v>
      </c>
      <c r="E2942" s="378" t="s">
        <v>26</v>
      </c>
      <c r="F2942" s="378" t="s">
        <v>26</v>
      </c>
      <c r="G2942" s="378" t="s">
        <v>26</v>
      </c>
      <c r="H2942" s="379" t="s">
        <v>130</v>
      </c>
    </row>
    <row r="2943" spans="1:8" ht="31.5">
      <c r="A2943" s="376" t="s">
        <v>164</v>
      </c>
      <c r="B2943" s="382" t="s">
        <v>165</v>
      </c>
      <c r="C2943" s="378" t="s">
        <v>26</v>
      </c>
      <c r="D2943" s="378" t="s">
        <v>26</v>
      </c>
      <c r="E2943" s="378" t="s">
        <v>26</v>
      </c>
      <c r="F2943" s="378" t="s">
        <v>26</v>
      </c>
      <c r="G2943" s="378" t="s">
        <v>26</v>
      </c>
      <c r="H2943" s="379" t="s">
        <v>130</v>
      </c>
    </row>
    <row r="2944" spans="1:8" ht="31.5">
      <c r="A2944" s="384" t="s">
        <v>166</v>
      </c>
      <c r="B2944" s="385" t="s">
        <v>167</v>
      </c>
      <c r="C2944" s="386" t="s">
        <v>26</v>
      </c>
      <c r="D2944" s="386" t="s">
        <v>26</v>
      </c>
      <c r="E2944" s="386" t="s">
        <v>26</v>
      </c>
      <c r="F2944" s="386" t="s">
        <v>26</v>
      </c>
      <c r="G2944" s="386" t="s">
        <v>26</v>
      </c>
      <c r="H2944" s="387" t="s">
        <v>130</v>
      </c>
    </row>
    <row r="2945" spans="1:8" ht="15.75">
      <c r="A2945" s="388"/>
      <c r="B2945" s="389"/>
      <c r="C2945" s="390"/>
      <c r="D2945" s="390"/>
      <c r="E2945" s="390"/>
      <c r="F2945" s="390"/>
      <c r="G2945" s="390"/>
      <c r="H2945" s="98"/>
    </row>
    <row r="2946" spans="1:8" ht="18.75" customHeight="1">
      <c r="A2946" s="580" t="s">
        <v>168</v>
      </c>
      <c r="B2946" s="580"/>
      <c r="C2946" s="580"/>
      <c r="D2946" s="580"/>
      <c r="E2946" s="580"/>
      <c r="F2946" s="580"/>
      <c r="G2946" s="580"/>
      <c r="H2946" s="580"/>
    </row>
    <row r="2947" spans="1:8" ht="15.75">
      <c r="A2947" s="391"/>
      <c r="B2947" s="391"/>
      <c r="C2947" s="391"/>
      <c r="D2947" s="391"/>
      <c r="E2947" s="391"/>
      <c r="F2947" s="391"/>
      <c r="G2947" s="391"/>
      <c r="H2947" s="391"/>
    </row>
    <row r="2948" spans="1:8" ht="15.75">
      <c r="A2948" s="391"/>
      <c r="B2948" s="391"/>
      <c r="C2948" s="391"/>
      <c r="D2948" s="391"/>
      <c r="E2948" s="391"/>
      <c r="F2948" s="391"/>
      <c r="G2948" s="391"/>
      <c r="H2948" s="391"/>
    </row>
    <row r="2949" ht="15.75">
      <c r="H2949" s="6" t="s">
        <v>113</v>
      </c>
    </row>
    <row r="2950" ht="15.75">
      <c r="H2950" s="6" t="s">
        <v>114</v>
      </c>
    </row>
    <row r="2951" ht="15.75">
      <c r="H2951" s="6" t="s">
        <v>115</v>
      </c>
    </row>
    <row r="2952" ht="15.75">
      <c r="H2952" s="6"/>
    </row>
    <row r="2953" spans="1:8" ht="18.75" customHeight="1">
      <c r="A2953" s="622" t="s">
        <v>116</v>
      </c>
      <c r="B2953" s="622"/>
      <c r="C2953" s="622"/>
      <c r="D2953" s="622"/>
      <c r="E2953" s="622"/>
      <c r="F2953" s="622"/>
      <c r="G2953" s="622"/>
      <c r="H2953" s="622"/>
    </row>
    <row r="2954" spans="1:8" ht="18.75" customHeight="1">
      <c r="A2954" s="622" t="s">
        <v>117</v>
      </c>
      <c r="B2954" s="622"/>
      <c r="C2954" s="622"/>
      <c r="D2954" s="622"/>
      <c r="E2954" s="622"/>
      <c r="F2954" s="622"/>
      <c r="G2954" s="622"/>
      <c r="H2954" s="622"/>
    </row>
    <row r="2955" ht="15.75">
      <c r="H2955" s="6" t="s">
        <v>562</v>
      </c>
    </row>
    <row r="2956" ht="15.75">
      <c r="H2956" s="6" t="s">
        <v>769</v>
      </c>
    </row>
    <row r="2957" ht="15.75">
      <c r="H2957" s="6" t="s">
        <v>770</v>
      </c>
    </row>
    <row r="2958" ht="15.75">
      <c r="H2958" s="361" t="str">
        <f>H11</f>
        <v>                         Добровольский К.А.</v>
      </c>
    </row>
    <row r="2959" ht="15.75">
      <c r="H2959" s="6" t="s">
        <v>772</v>
      </c>
    </row>
    <row r="2960" ht="15.75">
      <c r="H2960" s="6" t="s">
        <v>567</v>
      </c>
    </row>
    <row r="2961" ht="15.75">
      <c r="A2961" s="362"/>
    </row>
    <row r="2962" ht="15.75">
      <c r="A2962" s="3" t="s">
        <v>326</v>
      </c>
    </row>
    <row r="2963" spans="1:8" ht="18.75" customHeight="1">
      <c r="A2963" s="623" t="s">
        <v>120</v>
      </c>
      <c r="B2963" s="623"/>
      <c r="C2963" s="623"/>
      <c r="D2963" s="623"/>
      <c r="E2963" s="623"/>
      <c r="F2963" s="623"/>
      <c r="G2963" s="623"/>
      <c r="H2963" s="623"/>
    </row>
    <row r="2964" spans="1:8" ht="15.75">
      <c r="A2964" s="364"/>
      <c r="B2964" s="364"/>
      <c r="C2964" s="366"/>
      <c r="D2964" s="366"/>
      <c r="E2964" s="366"/>
      <c r="F2964" s="366"/>
      <c r="G2964" s="366"/>
      <c r="H2964" s="366"/>
    </row>
    <row r="2965" spans="1:8" ht="16.5" customHeight="1">
      <c r="A2965" s="581" t="s">
        <v>121</v>
      </c>
      <c r="B2965" s="559" t="s">
        <v>122</v>
      </c>
      <c r="C2965" s="560" t="s">
        <v>123</v>
      </c>
      <c r="D2965" s="560"/>
      <c r="E2965" s="560"/>
      <c r="F2965" s="560"/>
      <c r="G2965" s="561" t="s">
        <v>124</v>
      </c>
      <c r="H2965" s="581" t="s">
        <v>125</v>
      </c>
    </row>
    <row r="2966" spans="1:8" ht="15.75">
      <c r="A2966" s="581"/>
      <c r="B2966" s="559"/>
      <c r="C2966" s="560"/>
      <c r="D2966" s="560"/>
      <c r="E2966" s="560"/>
      <c r="F2966" s="560"/>
      <c r="G2966" s="561"/>
      <c r="H2966" s="581"/>
    </row>
    <row r="2967" spans="1:8" ht="31.5">
      <c r="A2967" s="581"/>
      <c r="B2967" s="559"/>
      <c r="C2967" s="369" t="s">
        <v>126</v>
      </c>
      <c r="D2967" s="369" t="s">
        <v>127</v>
      </c>
      <c r="E2967" s="370" t="s">
        <v>126</v>
      </c>
      <c r="F2967" s="371" t="s">
        <v>127</v>
      </c>
      <c r="G2967" s="561"/>
      <c r="H2967" s="581"/>
    </row>
    <row r="2968" spans="1:8" ht="15.75">
      <c r="A2968" s="367">
        <v>1</v>
      </c>
      <c r="B2968" s="367">
        <v>2</v>
      </c>
      <c r="C2968" s="372">
        <v>3</v>
      </c>
      <c r="D2968" s="372">
        <v>4</v>
      </c>
      <c r="E2968" s="373"/>
      <c r="F2968" s="374"/>
      <c r="G2968" s="368">
        <v>5</v>
      </c>
      <c r="H2968" s="367">
        <v>6</v>
      </c>
    </row>
    <row r="2969" spans="1:8" ht="18.75" customHeight="1">
      <c r="A2969" s="375">
        <v>1</v>
      </c>
      <c r="B2969" s="582" t="s">
        <v>128</v>
      </c>
      <c r="C2969" s="582"/>
      <c r="D2969" s="582"/>
      <c r="E2969" s="582"/>
      <c r="F2969" s="582"/>
      <c r="G2969" s="582"/>
      <c r="H2969" s="582"/>
    </row>
    <row r="2970" spans="1:8" ht="15.75">
      <c r="A2970" s="376" t="s">
        <v>594</v>
      </c>
      <c r="B2970" s="377" t="s">
        <v>129</v>
      </c>
      <c r="C2970" s="378" t="s">
        <v>26</v>
      </c>
      <c r="D2970" s="378" t="s">
        <v>26</v>
      </c>
      <c r="E2970" s="378" t="s">
        <v>26</v>
      </c>
      <c r="F2970" s="378" t="s">
        <v>26</v>
      </c>
      <c r="G2970" s="378" t="s">
        <v>26</v>
      </c>
      <c r="H2970" s="379" t="s">
        <v>130</v>
      </c>
    </row>
    <row r="2971" spans="1:8" ht="15.75">
      <c r="A2971" s="376" t="s">
        <v>735</v>
      </c>
      <c r="B2971" s="377" t="s">
        <v>131</v>
      </c>
      <c r="C2971" s="378" t="s">
        <v>26</v>
      </c>
      <c r="D2971" s="378" t="s">
        <v>26</v>
      </c>
      <c r="E2971" s="378" t="s">
        <v>26</v>
      </c>
      <c r="F2971" s="378" t="s">
        <v>26</v>
      </c>
      <c r="G2971" s="378" t="s">
        <v>26</v>
      </c>
      <c r="H2971" s="379" t="s">
        <v>130</v>
      </c>
    </row>
    <row r="2972" spans="1:8" ht="31.5">
      <c r="A2972" s="376" t="s">
        <v>737</v>
      </c>
      <c r="B2972" s="381" t="s">
        <v>132</v>
      </c>
      <c r="C2972" s="566" t="s">
        <v>101</v>
      </c>
      <c r="D2972" s="566" t="s">
        <v>102</v>
      </c>
      <c r="E2972" s="378" t="s">
        <v>26</v>
      </c>
      <c r="F2972" s="378" t="s">
        <v>26</v>
      </c>
      <c r="G2972" s="378" t="s">
        <v>26</v>
      </c>
      <c r="H2972" s="379" t="s">
        <v>130</v>
      </c>
    </row>
    <row r="2973" spans="1:8" ht="47.25">
      <c r="A2973" s="376" t="s">
        <v>739</v>
      </c>
      <c r="B2973" s="381" t="s">
        <v>133</v>
      </c>
      <c r="C2973" s="566" t="s">
        <v>103</v>
      </c>
      <c r="D2973" s="566" t="s">
        <v>104</v>
      </c>
      <c r="E2973" s="378" t="s">
        <v>26</v>
      </c>
      <c r="F2973" s="378" t="s">
        <v>26</v>
      </c>
      <c r="G2973" s="378" t="s">
        <v>26</v>
      </c>
      <c r="H2973" s="379" t="s">
        <v>130</v>
      </c>
    </row>
    <row r="2974" spans="1:8" ht="15.75">
      <c r="A2974" s="376" t="s">
        <v>852</v>
      </c>
      <c r="B2974" s="382" t="s">
        <v>134</v>
      </c>
      <c r="C2974" s="566" t="s">
        <v>105</v>
      </c>
      <c r="D2974" s="566" t="s">
        <v>106</v>
      </c>
      <c r="E2974" s="378" t="s">
        <v>26</v>
      </c>
      <c r="F2974" s="378" t="s">
        <v>26</v>
      </c>
      <c r="G2974" s="378" t="s">
        <v>26</v>
      </c>
      <c r="H2974" s="379" t="s">
        <v>130</v>
      </c>
    </row>
    <row r="2975" spans="1:8" ht="15.75">
      <c r="A2975" s="376" t="s">
        <v>853</v>
      </c>
      <c r="B2975" s="382" t="s">
        <v>135</v>
      </c>
      <c r="C2975" s="566" t="s">
        <v>101</v>
      </c>
      <c r="D2975" s="566" t="s">
        <v>107</v>
      </c>
      <c r="E2975" s="378" t="s">
        <v>26</v>
      </c>
      <c r="F2975" s="378" t="s">
        <v>26</v>
      </c>
      <c r="G2975" s="378" t="s">
        <v>26</v>
      </c>
      <c r="H2975" s="379" t="s">
        <v>130</v>
      </c>
    </row>
    <row r="2976" spans="1:8" ht="18.75" customHeight="1">
      <c r="A2976" s="376">
        <v>2</v>
      </c>
      <c r="B2976" s="579" t="s">
        <v>136</v>
      </c>
      <c r="C2976" s="579"/>
      <c r="D2976" s="579"/>
      <c r="E2976" s="579"/>
      <c r="F2976" s="579"/>
      <c r="G2976" s="579"/>
      <c r="H2976" s="579"/>
    </row>
    <row r="2977" spans="1:8" ht="31.5">
      <c r="A2977" s="376" t="s">
        <v>743</v>
      </c>
      <c r="B2977" s="381" t="s">
        <v>137</v>
      </c>
      <c r="C2977" s="378" t="s">
        <v>284</v>
      </c>
      <c r="D2977" s="378" t="s">
        <v>285</v>
      </c>
      <c r="E2977" s="378" t="s">
        <v>26</v>
      </c>
      <c r="F2977" s="378" t="s">
        <v>26</v>
      </c>
      <c r="G2977" s="383">
        <v>0</v>
      </c>
      <c r="H2977" s="379"/>
    </row>
    <row r="2978" spans="1:8" ht="47.25">
      <c r="A2978" s="376" t="s">
        <v>746</v>
      </c>
      <c r="B2978" s="381" t="s">
        <v>140</v>
      </c>
      <c r="C2978" s="378" t="s">
        <v>26</v>
      </c>
      <c r="D2978" s="378" t="s">
        <v>26</v>
      </c>
      <c r="E2978" s="378" t="s">
        <v>26</v>
      </c>
      <c r="F2978" s="378" t="s">
        <v>26</v>
      </c>
      <c r="G2978" s="378" t="s">
        <v>26</v>
      </c>
      <c r="H2978" s="379" t="s">
        <v>130</v>
      </c>
    </row>
    <row r="2979" spans="1:8" ht="31.5">
      <c r="A2979" s="376" t="s">
        <v>141</v>
      </c>
      <c r="B2979" s="381" t="s">
        <v>142</v>
      </c>
      <c r="C2979" s="378" t="s">
        <v>26</v>
      </c>
      <c r="D2979" s="378" t="s">
        <v>26</v>
      </c>
      <c r="E2979" s="378" t="s">
        <v>26</v>
      </c>
      <c r="F2979" s="378" t="s">
        <v>26</v>
      </c>
      <c r="G2979" s="378" t="s">
        <v>26</v>
      </c>
      <c r="H2979" s="379" t="s">
        <v>130</v>
      </c>
    </row>
    <row r="2980" spans="1:8" ht="18.75" customHeight="1">
      <c r="A2980" s="376">
        <v>3</v>
      </c>
      <c r="B2980" s="579" t="s">
        <v>143</v>
      </c>
      <c r="C2980" s="579"/>
      <c r="D2980" s="579"/>
      <c r="E2980" s="579"/>
      <c r="F2980" s="579"/>
      <c r="G2980" s="579"/>
      <c r="H2980" s="579"/>
    </row>
    <row r="2981" spans="1:8" ht="31.5">
      <c r="A2981" s="376" t="s">
        <v>756</v>
      </c>
      <c r="B2981" s="382" t="s">
        <v>144</v>
      </c>
      <c r="C2981" s="378" t="s">
        <v>26</v>
      </c>
      <c r="D2981" s="378" t="s">
        <v>26</v>
      </c>
      <c r="E2981" s="378" t="s">
        <v>26</v>
      </c>
      <c r="F2981" s="378" t="s">
        <v>26</v>
      </c>
      <c r="G2981" s="378" t="s">
        <v>26</v>
      </c>
      <c r="H2981" s="379" t="s">
        <v>130</v>
      </c>
    </row>
    <row r="2982" spans="1:8" ht="15.75">
      <c r="A2982" s="376" t="s">
        <v>757</v>
      </c>
      <c r="B2982" s="382" t="s">
        <v>145</v>
      </c>
      <c r="C2982" s="378" t="s">
        <v>286</v>
      </c>
      <c r="D2982" s="378" t="s">
        <v>287</v>
      </c>
      <c r="E2982" s="378" t="s">
        <v>26</v>
      </c>
      <c r="F2982" s="378" t="s">
        <v>26</v>
      </c>
      <c r="G2982" s="383">
        <v>0</v>
      </c>
      <c r="H2982" s="379"/>
    </row>
    <row r="2983" spans="1:8" ht="15.75">
      <c r="A2983" s="376" t="s">
        <v>147</v>
      </c>
      <c r="B2983" s="382" t="s">
        <v>148</v>
      </c>
      <c r="C2983" s="378" t="s">
        <v>288</v>
      </c>
      <c r="D2983" s="378" t="s">
        <v>289</v>
      </c>
      <c r="E2983" s="378" t="s">
        <v>26</v>
      </c>
      <c r="F2983" s="378" t="s">
        <v>26</v>
      </c>
      <c r="G2983" s="383">
        <v>0</v>
      </c>
      <c r="H2983" s="379"/>
    </row>
    <row r="2984" spans="1:8" ht="15.75">
      <c r="A2984" s="376" t="s">
        <v>151</v>
      </c>
      <c r="B2984" s="382" t="s">
        <v>152</v>
      </c>
      <c r="C2984" s="378" t="s">
        <v>290</v>
      </c>
      <c r="D2984" s="378" t="s">
        <v>291</v>
      </c>
      <c r="E2984" s="378" t="s">
        <v>26</v>
      </c>
      <c r="F2984" s="378" t="s">
        <v>26</v>
      </c>
      <c r="G2984" s="383">
        <v>0</v>
      </c>
      <c r="H2984" s="379"/>
    </row>
    <row r="2985" spans="1:8" ht="15.75">
      <c r="A2985" s="376" t="s">
        <v>155</v>
      </c>
      <c r="B2985" s="382" t="s">
        <v>156</v>
      </c>
      <c r="C2985" s="378" t="s">
        <v>292</v>
      </c>
      <c r="D2985" s="378" t="s">
        <v>285</v>
      </c>
      <c r="E2985" s="378" t="s">
        <v>26</v>
      </c>
      <c r="F2985" s="378" t="s">
        <v>26</v>
      </c>
      <c r="G2985" s="383">
        <v>0</v>
      </c>
      <c r="H2985" s="379"/>
    </row>
    <row r="2986" spans="1:8" ht="18.75" customHeight="1">
      <c r="A2986" s="376">
        <v>4</v>
      </c>
      <c r="B2986" s="579" t="s">
        <v>159</v>
      </c>
      <c r="C2986" s="579"/>
      <c r="D2986" s="579"/>
      <c r="E2986" s="579"/>
      <c r="F2986" s="579"/>
      <c r="G2986" s="579"/>
      <c r="H2986" s="579"/>
    </row>
    <row r="2987" spans="1:8" ht="31.5">
      <c r="A2987" s="376" t="s">
        <v>160</v>
      </c>
      <c r="B2987" s="381" t="s">
        <v>161</v>
      </c>
      <c r="C2987" s="378" t="s">
        <v>26</v>
      </c>
      <c r="D2987" s="378" t="s">
        <v>26</v>
      </c>
      <c r="E2987" s="378" t="s">
        <v>26</v>
      </c>
      <c r="F2987" s="378" t="s">
        <v>26</v>
      </c>
      <c r="G2987" s="378" t="s">
        <v>26</v>
      </c>
      <c r="H2987" s="379" t="s">
        <v>130</v>
      </c>
    </row>
    <row r="2988" spans="1:8" ht="47.25">
      <c r="A2988" s="376" t="s">
        <v>162</v>
      </c>
      <c r="B2988" s="381" t="s">
        <v>163</v>
      </c>
      <c r="C2988" s="378" t="s">
        <v>26</v>
      </c>
      <c r="D2988" s="378" t="s">
        <v>26</v>
      </c>
      <c r="E2988" s="378" t="s">
        <v>26</v>
      </c>
      <c r="F2988" s="378" t="s">
        <v>26</v>
      </c>
      <c r="G2988" s="378" t="s">
        <v>26</v>
      </c>
      <c r="H2988" s="379" t="s">
        <v>130</v>
      </c>
    </row>
    <row r="2989" spans="1:8" ht="31.5">
      <c r="A2989" s="376" t="s">
        <v>164</v>
      </c>
      <c r="B2989" s="382" t="s">
        <v>165</v>
      </c>
      <c r="C2989" s="378" t="s">
        <v>26</v>
      </c>
      <c r="D2989" s="378" t="s">
        <v>26</v>
      </c>
      <c r="E2989" s="378" t="s">
        <v>26</v>
      </c>
      <c r="F2989" s="378" t="s">
        <v>26</v>
      </c>
      <c r="G2989" s="378" t="s">
        <v>26</v>
      </c>
      <c r="H2989" s="379" t="s">
        <v>130</v>
      </c>
    </row>
    <row r="2990" spans="1:8" ht="31.5">
      <c r="A2990" s="384" t="s">
        <v>166</v>
      </c>
      <c r="B2990" s="385" t="s">
        <v>167</v>
      </c>
      <c r="C2990" s="386" t="s">
        <v>26</v>
      </c>
      <c r="D2990" s="386" t="s">
        <v>26</v>
      </c>
      <c r="E2990" s="386" t="s">
        <v>26</v>
      </c>
      <c r="F2990" s="386" t="s">
        <v>26</v>
      </c>
      <c r="G2990" s="386" t="s">
        <v>26</v>
      </c>
      <c r="H2990" s="387" t="s">
        <v>130</v>
      </c>
    </row>
    <row r="2991" spans="1:8" ht="15.75">
      <c r="A2991" s="388"/>
      <c r="B2991" s="389"/>
      <c r="C2991" s="390"/>
      <c r="D2991" s="390"/>
      <c r="E2991" s="390"/>
      <c r="F2991" s="390"/>
      <c r="G2991" s="390"/>
      <c r="H2991" s="98"/>
    </row>
    <row r="2992" spans="1:8" ht="18.75" customHeight="1">
      <c r="A2992" s="580" t="s">
        <v>168</v>
      </c>
      <c r="B2992" s="580"/>
      <c r="C2992" s="580"/>
      <c r="D2992" s="580"/>
      <c r="E2992" s="580"/>
      <c r="F2992" s="580"/>
      <c r="G2992" s="580"/>
      <c r="H2992" s="580"/>
    </row>
    <row r="2993" spans="1:8" ht="15.75">
      <c r="A2993" s="391"/>
      <c r="B2993" s="391"/>
      <c r="C2993" s="391"/>
      <c r="D2993" s="391"/>
      <c r="E2993" s="391"/>
      <c r="F2993" s="391"/>
      <c r="G2993" s="391"/>
      <c r="H2993" s="391"/>
    </row>
    <row r="2994" spans="1:8" ht="15.75">
      <c r="A2994" s="391"/>
      <c r="B2994" s="391"/>
      <c r="C2994" s="391"/>
      <c r="D2994" s="391"/>
      <c r="E2994" s="391"/>
      <c r="F2994" s="391"/>
      <c r="G2994" s="391"/>
      <c r="H2994" s="391"/>
    </row>
    <row r="2995" ht="15.75">
      <c r="H2995" s="6" t="s">
        <v>113</v>
      </c>
    </row>
    <row r="2996" ht="15.75">
      <c r="H2996" s="6" t="s">
        <v>114</v>
      </c>
    </row>
    <row r="2997" ht="15.75">
      <c r="H2997" s="6" t="s">
        <v>115</v>
      </c>
    </row>
    <row r="2998" ht="15.75">
      <c r="H2998" s="6"/>
    </row>
    <row r="2999" spans="1:8" ht="18.75" customHeight="1">
      <c r="A2999" s="622" t="s">
        <v>116</v>
      </c>
      <c r="B2999" s="622"/>
      <c r="C2999" s="622"/>
      <c r="D2999" s="622"/>
      <c r="E2999" s="622"/>
      <c r="F2999" s="622"/>
      <c r="G2999" s="622"/>
      <c r="H2999" s="622"/>
    </row>
    <row r="3000" spans="1:8" ht="18.75" customHeight="1">
      <c r="A3000" s="622" t="s">
        <v>117</v>
      </c>
      <c r="B3000" s="622"/>
      <c r="C3000" s="622"/>
      <c r="D3000" s="622"/>
      <c r="E3000" s="622"/>
      <c r="F3000" s="622"/>
      <c r="G3000" s="622"/>
      <c r="H3000" s="622"/>
    </row>
    <row r="3001" ht="15.75">
      <c r="H3001" s="6" t="s">
        <v>562</v>
      </c>
    </row>
    <row r="3002" ht="15.75">
      <c r="H3002" s="6" t="s">
        <v>769</v>
      </c>
    </row>
    <row r="3003" ht="15.75">
      <c r="H3003" s="6" t="s">
        <v>770</v>
      </c>
    </row>
    <row r="3004" ht="15.75">
      <c r="H3004" s="361" t="str">
        <f>H11</f>
        <v>                         Добровольский К.А.</v>
      </c>
    </row>
    <row r="3005" ht="15.75">
      <c r="H3005" s="6" t="s">
        <v>772</v>
      </c>
    </row>
    <row r="3006" ht="15.75">
      <c r="H3006" s="6" t="s">
        <v>567</v>
      </c>
    </row>
    <row r="3007" ht="15.75">
      <c r="A3007" s="362"/>
    </row>
    <row r="3008" ht="15.75">
      <c r="A3008" s="3" t="s">
        <v>327</v>
      </c>
    </row>
    <row r="3009" spans="1:8" ht="18.75" customHeight="1">
      <c r="A3009" s="623" t="s">
        <v>120</v>
      </c>
      <c r="B3009" s="623"/>
      <c r="C3009" s="623"/>
      <c r="D3009" s="623"/>
      <c r="E3009" s="623"/>
      <c r="F3009" s="623"/>
      <c r="G3009" s="623"/>
      <c r="H3009" s="623"/>
    </row>
    <row r="3010" spans="1:8" ht="15.75">
      <c r="A3010" s="364"/>
      <c r="B3010" s="364"/>
      <c r="C3010" s="366"/>
      <c r="D3010" s="366"/>
      <c r="E3010" s="366"/>
      <c r="F3010" s="366"/>
      <c r="G3010" s="366"/>
      <c r="H3010" s="366"/>
    </row>
    <row r="3011" spans="1:8" ht="16.5" customHeight="1">
      <c r="A3011" s="581" t="s">
        <v>121</v>
      </c>
      <c r="B3011" s="559" t="s">
        <v>122</v>
      </c>
      <c r="C3011" s="560" t="s">
        <v>123</v>
      </c>
      <c r="D3011" s="560"/>
      <c r="E3011" s="560"/>
      <c r="F3011" s="560"/>
      <c r="G3011" s="561" t="s">
        <v>124</v>
      </c>
      <c r="H3011" s="581" t="s">
        <v>125</v>
      </c>
    </row>
    <row r="3012" spans="1:8" ht="15.75">
      <c r="A3012" s="581"/>
      <c r="B3012" s="559"/>
      <c r="C3012" s="560"/>
      <c r="D3012" s="560"/>
      <c r="E3012" s="560"/>
      <c r="F3012" s="560"/>
      <c r="G3012" s="561"/>
      <c r="H3012" s="581"/>
    </row>
    <row r="3013" spans="1:8" ht="31.5">
      <c r="A3013" s="581"/>
      <c r="B3013" s="559"/>
      <c r="C3013" s="369" t="s">
        <v>126</v>
      </c>
      <c r="D3013" s="369" t="s">
        <v>127</v>
      </c>
      <c r="E3013" s="370" t="s">
        <v>126</v>
      </c>
      <c r="F3013" s="371" t="s">
        <v>127</v>
      </c>
      <c r="G3013" s="561"/>
      <c r="H3013" s="581"/>
    </row>
    <row r="3014" spans="1:8" ht="15.75">
      <c r="A3014" s="367">
        <v>1</v>
      </c>
      <c r="B3014" s="367">
        <v>2</v>
      </c>
      <c r="C3014" s="372">
        <v>3</v>
      </c>
      <c r="D3014" s="372">
        <v>4</v>
      </c>
      <c r="E3014" s="373"/>
      <c r="F3014" s="374"/>
      <c r="G3014" s="368">
        <v>5</v>
      </c>
      <c r="H3014" s="367">
        <v>6</v>
      </c>
    </row>
    <row r="3015" spans="1:8" ht="18.75" customHeight="1">
      <c r="A3015" s="375">
        <v>1</v>
      </c>
      <c r="B3015" s="582" t="s">
        <v>128</v>
      </c>
      <c r="C3015" s="582"/>
      <c r="D3015" s="582"/>
      <c r="E3015" s="582"/>
      <c r="F3015" s="582"/>
      <c r="G3015" s="582"/>
      <c r="H3015" s="582"/>
    </row>
    <row r="3016" spans="1:8" ht="15.75">
      <c r="A3016" s="376" t="s">
        <v>594</v>
      </c>
      <c r="B3016" s="377" t="s">
        <v>129</v>
      </c>
      <c r="C3016" s="378" t="s">
        <v>26</v>
      </c>
      <c r="D3016" s="378" t="s">
        <v>26</v>
      </c>
      <c r="E3016" s="378" t="s">
        <v>26</v>
      </c>
      <c r="F3016" s="378" t="s">
        <v>26</v>
      </c>
      <c r="G3016" s="378" t="s">
        <v>26</v>
      </c>
      <c r="H3016" s="379" t="s">
        <v>130</v>
      </c>
    </row>
    <row r="3017" spans="1:8" ht="15.75">
      <c r="A3017" s="376" t="s">
        <v>735</v>
      </c>
      <c r="B3017" s="377" t="s">
        <v>131</v>
      </c>
      <c r="C3017" s="378" t="s">
        <v>26</v>
      </c>
      <c r="D3017" s="378" t="s">
        <v>26</v>
      </c>
      <c r="E3017" s="378" t="s">
        <v>26</v>
      </c>
      <c r="F3017" s="378" t="s">
        <v>26</v>
      </c>
      <c r="G3017" s="378" t="s">
        <v>26</v>
      </c>
      <c r="H3017" s="379" t="s">
        <v>130</v>
      </c>
    </row>
    <row r="3018" spans="1:8" ht="31.5">
      <c r="A3018" s="376" t="s">
        <v>737</v>
      </c>
      <c r="B3018" s="381" t="s">
        <v>132</v>
      </c>
      <c r="C3018" s="566" t="s">
        <v>101</v>
      </c>
      <c r="D3018" s="566" t="s">
        <v>102</v>
      </c>
      <c r="E3018" s="378" t="s">
        <v>26</v>
      </c>
      <c r="F3018" s="378" t="s">
        <v>26</v>
      </c>
      <c r="G3018" s="378" t="s">
        <v>26</v>
      </c>
      <c r="H3018" s="379" t="s">
        <v>130</v>
      </c>
    </row>
    <row r="3019" spans="1:8" ht="47.25">
      <c r="A3019" s="376" t="s">
        <v>739</v>
      </c>
      <c r="B3019" s="381" t="s">
        <v>133</v>
      </c>
      <c r="C3019" s="566" t="s">
        <v>103</v>
      </c>
      <c r="D3019" s="566" t="s">
        <v>104</v>
      </c>
      <c r="E3019" s="378" t="s">
        <v>26</v>
      </c>
      <c r="F3019" s="378" t="s">
        <v>26</v>
      </c>
      <c r="G3019" s="378" t="s">
        <v>26</v>
      </c>
      <c r="H3019" s="379" t="s">
        <v>130</v>
      </c>
    </row>
    <row r="3020" spans="1:8" ht="15.75">
      <c r="A3020" s="376" t="s">
        <v>852</v>
      </c>
      <c r="B3020" s="382" t="s">
        <v>134</v>
      </c>
      <c r="C3020" s="566" t="s">
        <v>105</v>
      </c>
      <c r="D3020" s="566" t="s">
        <v>106</v>
      </c>
      <c r="E3020" s="378" t="s">
        <v>26</v>
      </c>
      <c r="F3020" s="378" t="s">
        <v>26</v>
      </c>
      <c r="G3020" s="378" t="s">
        <v>26</v>
      </c>
      <c r="H3020" s="379" t="s">
        <v>130</v>
      </c>
    </row>
    <row r="3021" spans="1:8" ht="15.75">
      <c r="A3021" s="376" t="s">
        <v>853</v>
      </c>
      <c r="B3021" s="382" t="s">
        <v>135</v>
      </c>
      <c r="C3021" s="566" t="s">
        <v>101</v>
      </c>
      <c r="D3021" s="566" t="s">
        <v>107</v>
      </c>
      <c r="E3021" s="378" t="s">
        <v>26</v>
      </c>
      <c r="F3021" s="378" t="s">
        <v>26</v>
      </c>
      <c r="G3021" s="378" t="s">
        <v>26</v>
      </c>
      <c r="H3021" s="379" t="s">
        <v>130</v>
      </c>
    </row>
    <row r="3022" spans="1:8" ht="18.75" customHeight="1">
      <c r="A3022" s="376">
        <v>2</v>
      </c>
      <c r="B3022" s="579" t="s">
        <v>136</v>
      </c>
      <c r="C3022" s="579"/>
      <c r="D3022" s="579"/>
      <c r="E3022" s="579"/>
      <c r="F3022" s="579"/>
      <c r="G3022" s="579"/>
      <c r="H3022" s="579"/>
    </row>
    <row r="3023" spans="1:8" ht="31.5">
      <c r="A3023" s="376" t="s">
        <v>743</v>
      </c>
      <c r="B3023" s="381" t="s">
        <v>137</v>
      </c>
      <c r="C3023" s="378" t="s">
        <v>284</v>
      </c>
      <c r="D3023" s="378" t="s">
        <v>285</v>
      </c>
      <c r="E3023" s="378" t="s">
        <v>26</v>
      </c>
      <c r="F3023" s="378" t="s">
        <v>26</v>
      </c>
      <c r="G3023" s="383">
        <v>0</v>
      </c>
      <c r="H3023" s="379"/>
    </row>
    <row r="3024" spans="1:8" ht="47.25">
      <c r="A3024" s="376" t="s">
        <v>746</v>
      </c>
      <c r="B3024" s="381" t="s">
        <v>140</v>
      </c>
      <c r="C3024" s="378" t="s">
        <v>26</v>
      </c>
      <c r="D3024" s="378" t="s">
        <v>26</v>
      </c>
      <c r="E3024" s="378" t="s">
        <v>26</v>
      </c>
      <c r="F3024" s="378" t="s">
        <v>26</v>
      </c>
      <c r="G3024" s="378" t="s">
        <v>26</v>
      </c>
      <c r="H3024" s="379" t="s">
        <v>130</v>
      </c>
    </row>
    <row r="3025" spans="1:8" ht="31.5">
      <c r="A3025" s="376" t="s">
        <v>141</v>
      </c>
      <c r="B3025" s="381" t="s">
        <v>142</v>
      </c>
      <c r="C3025" s="378" t="s">
        <v>26</v>
      </c>
      <c r="D3025" s="378" t="s">
        <v>26</v>
      </c>
      <c r="E3025" s="378" t="s">
        <v>26</v>
      </c>
      <c r="F3025" s="378" t="s">
        <v>26</v>
      </c>
      <c r="G3025" s="378" t="s">
        <v>26</v>
      </c>
      <c r="H3025" s="379" t="s">
        <v>130</v>
      </c>
    </row>
    <row r="3026" spans="1:8" ht="18.75" customHeight="1">
      <c r="A3026" s="376">
        <v>3</v>
      </c>
      <c r="B3026" s="579" t="s">
        <v>143</v>
      </c>
      <c r="C3026" s="579"/>
      <c r="D3026" s="579"/>
      <c r="E3026" s="579"/>
      <c r="F3026" s="579"/>
      <c r="G3026" s="579"/>
      <c r="H3026" s="579"/>
    </row>
    <row r="3027" spans="1:8" ht="31.5">
      <c r="A3027" s="376" t="s">
        <v>756</v>
      </c>
      <c r="B3027" s="382" t="s">
        <v>144</v>
      </c>
      <c r="C3027" s="378" t="s">
        <v>26</v>
      </c>
      <c r="D3027" s="378" t="s">
        <v>26</v>
      </c>
      <c r="E3027" s="378" t="s">
        <v>26</v>
      </c>
      <c r="F3027" s="378" t="s">
        <v>26</v>
      </c>
      <c r="G3027" s="378" t="s">
        <v>26</v>
      </c>
      <c r="H3027" s="379" t="s">
        <v>130</v>
      </c>
    </row>
    <row r="3028" spans="1:8" ht="15.75">
      <c r="A3028" s="376" t="s">
        <v>757</v>
      </c>
      <c r="B3028" s="382" t="s">
        <v>145</v>
      </c>
      <c r="C3028" s="378" t="s">
        <v>286</v>
      </c>
      <c r="D3028" s="378" t="s">
        <v>287</v>
      </c>
      <c r="E3028" s="378" t="s">
        <v>26</v>
      </c>
      <c r="F3028" s="378" t="s">
        <v>26</v>
      </c>
      <c r="G3028" s="383">
        <v>0</v>
      </c>
      <c r="H3028" s="379"/>
    </row>
    <row r="3029" spans="1:8" ht="15.75">
      <c r="A3029" s="376" t="s">
        <v>147</v>
      </c>
      <c r="B3029" s="382" t="s">
        <v>148</v>
      </c>
      <c r="C3029" s="378" t="s">
        <v>288</v>
      </c>
      <c r="D3029" s="378" t="s">
        <v>289</v>
      </c>
      <c r="E3029" s="378" t="s">
        <v>26</v>
      </c>
      <c r="F3029" s="378" t="s">
        <v>26</v>
      </c>
      <c r="G3029" s="383">
        <v>0</v>
      </c>
      <c r="H3029" s="379"/>
    </row>
    <row r="3030" spans="1:8" ht="15.75">
      <c r="A3030" s="376" t="s">
        <v>151</v>
      </c>
      <c r="B3030" s="382" t="s">
        <v>152</v>
      </c>
      <c r="C3030" s="378" t="s">
        <v>290</v>
      </c>
      <c r="D3030" s="378" t="s">
        <v>291</v>
      </c>
      <c r="E3030" s="378" t="s">
        <v>26</v>
      </c>
      <c r="F3030" s="378" t="s">
        <v>26</v>
      </c>
      <c r="G3030" s="383">
        <v>0</v>
      </c>
      <c r="H3030" s="379"/>
    </row>
    <row r="3031" spans="1:8" ht="15.75">
      <c r="A3031" s="376" t="s">
        <v>155</v>
      </c>
      <c r="B3031" s="382" t="s">
        <v>156</v>
      </c>
      <c r="C3031" s="378" t="s">
        <v>292</v>
      </c>
      <c r="D3031" s="378" t="s">
        <v>285</v>
      </c>
      <c r="E3031" s="378" t="s">
        <v>26</v>
      </c>
      <c r="F3031" s="378" t="s">
        <v>26</v>
      </c>
      <c r="G3031" s="383">
        <v>0</v>
      </c>
      <c r="H3031" s="379"/>
    </row>
    <row r="3032" spans="1:8" ht="18.75" customHeight="1">
      <c r="A3032" s="376">
        <v>4</v>
      </c>
      <c r="B3032" s="579" t="s">
        <v>159</v>
      </c>
      <c r="C3032" s="579"/>
      <c r="D3032" s="579"/>
      <c r="E3032" s="579"/>
      <c r="F3032" s="579"/>
      <c r="G3032" s="579"/>
      <c r="H3032" s="579"/>
    </row>
    <row r="3033" spans="1:8" ht="31.5">
      <c r="A3033" s="376" t="s">
        <v>160</v>
      </c>
      <c r="B3033" s="381" t="s">
        <v>161</v>
      </c>
      <c r="C3033" s="378" t="s">
        <v>26</v>
      </c>
      <c r="D3033" s="378" t="s">
        <v>26</v>
      </c>
      <c r="E3033" s="378" t="s">
        <v>26</v>
      </c>
      <c r="F3033" s="378" t="s">
        <v>26</v>
      </c>
      <c r="G3033" s="378" t="s">
        <v>26</v>
      </c>
      <c r="H3033" s="379" t="s">
        <v>130</v>
      </c>
    </row>
    <row r="3034" spans="1:8" ht="47.25">
      <c r="A3034" s="376" t="s">
        <v>162</v>
      </c>
      <c r="B3034" s="381" t="s">
        <v>163</v>
      </c>
      <c r="C3034" s="378" t="s">
        <v>26</v>
      </c>
      <c r="D3034" s="378" t="s">
        <v>26</v>
      </c>
      <c r="E3034" s="378" t="s">
        <v>26</v>
      </c>
      <c r="F3034" s="378" t="s">
        <v>26</v>
      </c>
      <c r="G3034" s="378" t="s">
        <v>26</v>
      </c>
      <c r="H3034" s="379" t="s">
        <v>130</v>
      </c>
    </row>
    <row r="3035" spans="1:8" ht="31.5">
      <c r="A3035" s="376" t="s">
        <v>164</v>
      </c>
      <c r="B3035" s="382" t="s">
        <v>165</v>
      </c>
      <c r="C3035" s="378" t="s">
        <v>26</v>
      </c>
      <c r="D3035" s="378" t="s">
        <v>26</v>
      </c>
      <c r="E3035" s="378" t="s">
        <v>26</v>
      </c>
      <c r="F3035" s="378" t="s">
        <v>26</v>
      </c>
      <c r="G3035" s="378" t="s">
        <v>26</v>
      </c>
      <c r="H3035" s="379" t="s">
        <v>130</v>
      </c>
    </row>
    <row r="3036" spans="1:8" ht="31.5">
      <c r="A3036" s="384" t="s">
        <v>166</v>
      </c>
      <c r="B3036" s="385" t="s">
        <v>167</v>
      </c>
      <c r="C3036" s="386" t="s">
        <v>26</v>
      </c>
      <c r="D3036" s="386" t="s">
        <v>26</v>
      </c>
      <c r="E3036" s="386" t="s">
        <v>26</v>
      </c>
      <c r="F3036" s="386" t="s">
        <v>26</v>
      </c>
      <c r="G3036" s="386" t="s">
        <v>26</v>
      </c>
      <c r="H3036" s="387" t="s">
        <v>130</v>
      </c>
    </row>
    <row r="3037" spans="1:8" ht="15.75">
      <c r="A3037" s="388"/>
      <c r="B3037" s="389"/>
      <c r="C3037" s="390"/>
      <c r="D3037" s="390"/>
      <c r="E3037" s="390"/>
      <c r="F3037" s="390"/>
      <c r="G3037" s="390"/>
      <c r="H3037" s="98"/>
    </row>
    <row r="3038" spans="1:8" ht="18.75" customHeight="1">
      <c r="A3038" s="580" t="s">
        <v>168</v>
      </c>
      <c r="B3038" s="580"/>
      <c r="C3038" s="580"/>
      <c r="D3038" s="580"/>
      <c r="E3038" s="580"/>
      <c r="F3038" s="580"/>
      <c r="G3038" s="580"/>
      <c r="H3038" s="580"/>
    </row>
    <row r="3039" spans="1:8" ht="15.75">
      <c r="A3039" s="391"/>
      <c r="B3039" s="391"/>
      <c r="C3039" s="391"/>
      <c r="D3039" s="391"/>
      <c r="E3039" s="391"/>
      <c r="F3039" s="391"/>
      <c r="G3039" s="391"/>
      <c r="H3039" s="391"/>
    </row>
    <row r="3040" spans="1:8" ht="15.75">
      <c r="A3040" s="391"/>
      <c r="B3040" s="391"/>
      <c r="C3040" s="391"/>
      <c r="D3040" s="391"/>
      <c r="E3040" s="391"/>
      <c r="F3040" s="391"/>
      <c r="G3040" s="391"/>
      <c r="H3040" s="391"/>
    </row>
    <row r="3041" ht="15.75">
      <c r="H3041" s="6" t="s">
        <v>113</v>
      </c>
    </row>
    <row r="3042" ht="15.75">
      <c r="H3042" s="6" t="s">
        <v>114</v>
      </c>
    </row>
    <row r="3043" ht="15.75">
      <c r="H3043" s="6" t="s">
        <v>115</v>
      </c>
    </row>
    <row r="3044" ht="15.75">
      <c r="H3044" s="6"/>
    </row>
    <row r="3045" spans="1:8" ht="18.75" customHeight="1">
      <c r="A3045" s="622" t="s">
        <v>116</v>
      </c>
      <c r="B3045" s="622"/>
      <c r="C3045" s="622"/>
      <c r="D3045" s="622"/>
      <c r="E3045" s="622"/>
      <c r="F3045" s="622"/>
      <c r="G3045" s="622"/>
      <c r="H3045" s="622"/>
    </row>
    <row r="3046" spans="1:8" ht="18.75" customHeight="1">
      <c r="A3046" s="622" t="s">
        <v>117</v>
      </c>
      <c r="B3046" s="622"/>
      <c r="C3046" s="622"/>
      <c r="D3046" s="622"/>
      <c r="E3046" s="622"/>
      <c r="F3046" s="622"/>
      <c r="G3046" s="622"/>
      <c r="H3046" s="622"/>
    </row>
    <row r="3047" ht="15.75">
      <c r="H3047" s="6" t="s">
        <v>562</v>
      </c>
    </row>
    <row r="3048" ht="15.75">
      <c r="H3048" s="6" t="s">
        <v>769</v>
      </c>
    </row>
    <row r="3049" ht="15.75">
      <c r="H3049" s="6" t="s">
        <v>770</v>
      </c>
    </row>
    <row r="3050" ht="15.75">
      <c r="H3050" s="361" t="str">
        <f>H11</f>
        <v>                         Добровольский К.А.</v>
      </c>
    </row>
    <row r="3051" ht="15.75">
      <c r="H3051" s="6" t="s">
        <v>772</v>
      </c>
    </row>
    <row r="3052" ht="15.75">
      <c r="H3052" s="6" t="s">
        <v>567</v>
      </c>
    </row>
    <row r="3053" ht="15.75">
      <c r="A3053" s="362"/>
    </row>
    <row r="3054" ht="15.75">
      <c r="A3054" s="3" t="s">
        <v>328</v>
      </c>
    </row>
    <row r="3055" spans="1:8" ht="18.75" customHeight="1">
      <c r="A3055" s="623" t="s">
        <v>120</v>
      </c>
      <c r="B3055" s="623"/>
      <c r="C3055" s="623"/>
      <c r="D3055" s="623"/>
      <c r="E3055" s="623"/>
      <c r="F3055" s="623"/>
      <c r="G3055" s="623"/>
      <c r="H3055" s="623"/>
    </row>
    <row r="3056" spans="1:8" ht="15.75">
      <c r="A3056" s="364"/>
      <c r="B3056" s="364"/>
      <c r="C3056" s="366"/>
      <c r="D3056" s="366"/>
      <c r="E3056" s="366"/>
      <c r="F3056" s="366"/>
      <c r="G3056" s="366"/>
      <c r="H3056" s="366"/>
    </row>
    <row r="3057" spans="1:8" ht="16.5" customHeight="1">
      <c r="A3057" s="581" t="s">
        <v>121</v>
      </c>
      <c r="B3057" s="559" t="s">
        <v>122</v>
      </c>
      <c r="C3057" s="560" t="s">
        <v>123</v>
      </c>
      <c r="D3057" s="560"/>
      <c r="E3057" s="560"/>
      <c r="F3057" s="560"/>
      <c r="G3057" s="561" t="s">
        <v>124</v>
      </c>
      <c r="H3057" s="581" t="s">
        <v>125</v>
      </c>
    </row>
    <row r="3058" spans="1:8" ht="15.75">
      <c r="A3058" s="581"/>
      <c r="B3058" s="559"/>
      <c r="C3058" s="560"/>
      <c r="D3058" s="560"/>
      <c r="E3058" s="560"/>
      <c r="F3058" s="560"/>
      <c r="G3058" s="561"/>
      <c r="H3058" s="581"/>
    </row>
    <row r="3059" spans="1:8" ht="31.5">
      <c r="A3059" s="581"/>
      <c r="B3059" s="559"/>
      <c r="C3059" s="369" t="s">
        <v>126</v>
      </c>
      <c r="D3059" s="369" t="s">
        <v>127</v>
      </c>
      <c r="E3059" s="370" t="s">
        <v>126</v>
      </c>
      <c r="F3059" s="371" t="s">
        <v>127</v>
      </c>
      <c r="G3059" s="561"/>
      <c r="H3059" s="581"/>
    </row>
    <row r="3060" spans="1:8" ht="15.75">
      <c r="A3060" s="367">
        <v>1</v>
      </c>
      <c r="B3060" s="367">
        <v>2</v>
      </c>
      <c r="C3060" s="372">
        <v>3</v>
      </c>
      <c r="D3060" s="372">
        <v>4</v>
      </c>
      <c r="E3060" s="373"/>
      <c r="F3060" s="374"/>
      <c r="G3060" s="368">
        <v>5</v>
      </c>
      <c r="H3060" s="367">
        <v>6</v>
      </c>
    </row>
    <row r="3061" spans="1:8" ht="18.75" customHeight="1">
      <c r="A3061" s="375">
        <v>1</v>
      </c>
      <c r="B3061" s="582" t="s">
        <v>128</v>
      </c>
      <c r="C3061" s="582"/>
      <c r="D3061" s="582"/>
      <c r="E3061" s="582"/>
      <c r="F3061" s="582"/>
      <c r="G3061" s="582"/>
      <c r="H3061" s="582"/>
    </row>
    <row r="3062" spans="1:8" ht="15.75">
      <c r="A3062" s="376" t="s">
        <v>594</v>
      </c>
      <c r="B3062" s="377" t="s">
        <v>129</v>
      </c>
      <c r="C3062" s="378" t="s">
        <v>26</v>
      </c>
      <c r="D3062" s="378" t="s">
        <v>26</v>
      </c>
      <c r="E3062" s="378" t="s">
        <v>26</v>
      </c>
      <c r="F3062" s="378" t="s">
        <v>26</v>
      </c>
      <c r="G3062" s="378" t="s">
        <v>26</v>
      </c>
      <c r="H3062" s="379" t="s">
        <v>130</v>
      </c>
    </row>
    <row r="3063" spans="1:8" ht="15.75">
      <c r="A3063" s="376" t="s">
        <v>735</v>
      </c>
      <c r="B3063" s="377" t="s">
        <v>131</v>
      </c>
      <c r="C3063" s="378" t="s">
        <v>26</v>
      </c>
      <c r="D3063" s="378" t="s">
        <v>26</v>
      </c>
      <c r="E3063" s="378" t="s">
        <v>26</v>
      </c>
      <c r="F3063" s="378" t="s">
        <v>26</v>
      </c>
      <c r="G3063" s="378" t="s">
        <v>26</v>
      </c>
      <c r="H3063" s="379" t="s">
        <v>130</v>
      </c>
    </row>
    <row r="3064" spans="1:8" ht="31.5">
      <c r="A3064" s="376" t="s">
        <v>737</v>
      </c>
      <c r="B3064" s="381" t="s">
        <v>132</v>
      </c>
      <c r="C3064" s="566" t="s">
        <v>101</v>
      </c>
      <c r="D3064" s="566" t="s">
        <v>102</v>
      </c>
      <c r="E3064" s="378" t="s">
        <v>26</v>
      </c>
      <c r="F3064" s="378" t="s">
        <v>26</v>
      </c>
      <c r="G3064" s="378" t="s">
        <v>26</v>
      </c>
      <c r="H3064" s="379" t="s">
        <v>130</v>
      </c>
    </row>
    <row r="3065" spans="1:8" ht="47.25">
      <c r="A3065" s="376" t="s">
        <v>739</v>
      </c>
      <c r="B3065" s="381" t="s">
        <v>133</v>
      </c>
      <c r="C3065" s="566" t="s">
        <v>103</v>
      </c>
      <c r="D3065" s="566" t="s">
        <v>104</v>
      </c>
      <c r="E3065" s="378" t="s">
        <v>26</v>
      </c>
      <c r="F3065" s="378" t="s">
        <v>26</v>
      </c>
      <c r="G3065" s="378" t="s">
        <v>26</v>
      </c>
      <c r="H3065" s="379" t="s">
        <v>130</v>
      </c>
    </row>
    <row r="3066" spans="1:8" ht="15.75">
      <c r="A3066" s="376" t="s">
        <v>852</v>
      </c>
      <c r="B3066" s="382" t="s">
        <v>134</v>
      </c>
      <c r="C3066" s="566" t="s">
        <v>105</v>
      </c>
      <c r="D3066" s="566" t="s">
        <v>106</v>
      </c>
      <c r="E3066" s="378" t="s">
        <v>26</v>
      </c>
      <c r="F3066" s="378" t="s">
        <v>26</v>
      </c>
      <c r="G3066" s="378" t="s">
        <v>26</v>
      </c>
      <c r="H3066" s="379" t="s">
        <v>130</v>
      </c>
    </row>
    <row r="3067" spans="1:8" ht="15.75">
      <c r="A3067" s="376" t="s">
        <v>853</v>
      </c>
      <c r="B3067" s="382" t="s">
        <v>135</v>
      </c>
      <c r="C3067" s="566" t="s">
        <v>101</v>
      </c>
      <c r="D3067" s="566" t="s">
        <v>107</v>
      </c>
      <c r="E3067" s="378" t="s">
        <v>26</v>
      </c>
      <c r="F3067" s="378" t="s">
        <v>26</v>
      </c>
      <c r="G3067" s="378" t="s">
        <v>26</v>
      </c>
      <c r="H3067" s="379" t="s">
        <v>130</v>
      </c>
    </row>
    <row r="3068" spans="1:8" ht="18.75" customHeight="1">
      <c r="A3068" s="376">
        <v>2</v>
      </c>
      <c r="B3068" s="579" t="s">
        <v>136</v>
      </c>
      <c r="C3068" s="579"/>
      <c r="D3068" s="579"/>
      <c r="E3068" s="579"/>
      <c r="F3068" s="579"/>
      <c r="G3068" s="579"/>
      <c r="H3068" s="579"/>
    </row>
    <row r="3069" spans="1:8" ht="31.5">
      <c r="A3069" s="376" t="s">
        <v>743</v>
      </c>
      <c r="B3069" s="381" t="s">
        <v>137</v>
      </c>
      <c r="C3069" s="378" t="s">
        <v>315</v>
      </c>
      <c r="D3069" s="378" t="s">
        <v>286</v>
      </c>
      <c r="E3069" s="378" t="s">
        <v>26</v>
      </c>
      <c r="F3069" s="378" t="s">
        <v>26</v>
      </c>
      <c r="G3069" s="383">
        <v>0</v>
      </c>
      <c r="H3069" s="379"/>
    </row>
    <row r="3070" spans="1:8" ht="47.25">
      <c r="A3070" s="376" t="s">
        <v>746</v>
      </c>
      <c r="B3070" s="381" t="s">
        <v>140</v>
      </c>
      <c r="C3070" s="378" t="s">
        <v>26</v>
      </c>
      <c r="D3070" s="378" t="s">
        <v>26</v>
      </c>
      <c r="E3070" s="378" t="s">
        <v>26</v>
      </c>
      <c r="F3070" s="378" t="s">
        <v>26</v>
      </c>
      <c r="G3070" s="378" t="s">
        <v>26</v>
      </c>
      <c r="H3070" s="379" t="s">
        <v>130</v>
      </c>
    </row>
    <row r="3071" spans="1:8" ht="31.5">
      <c r="A3071" s="376" t="s">
        <v>141</v>
      </c>
      <c r="B3071" s="381" t="s">
        <v>142</v>
      </c>
      <c r="C3071" s="378" t="s">
        <v>26</v>
      </c>
      <c r="D3071" s="378" t="s">
        <v>26</v>
      </c>
      <c r="E3071" s="378" t="s">
        <v>26</v>
      </c>
      <c r="F3071" s="378" t="s">
        <v>26</v>
      </c>
      <c r="G3071" s="378" t="s">
        <v>26</v>
      </c>
      <c r="H3071" s="379" t="s">
        <v>130</v>
      </c>
    </row>
    <row r="3072" spans="1:8" ht="18.75" customHeight="1">
      <c r="A3072" s="376">
        <v>3</v>
      </c>
      <c r="B3072" s="579" t="s">
        <v>143</v>
      </c>
      <c r="C3072" s="579"/>
      <c r="D3072" s="579"/>
      <c r="E3072" s="579"/>
      <c r="F3072" s="579"/>
      <c r="G3072" s="579"/>
      <c r="H3072" s="579"/>
    </row>
    <row r="3073" spans="1:8" ht="31.5">
      <c r="A3073" s="376" t="s">
        <v>756</v>
      </c>
      <c r="B3073" s="382" t="s">
        <v>144</v>
      </c>
      <c r="C3073" s="378" t="s">
        <v>26</v>
      </c>
      <c r="D3073" s="378" t="s">
        <v>26</v>
      </c>
      <c r="E3073" s="378" t="s">
        <v>26</v>
      </c>
      <c r="F3073" s="378" t="s">
        <v>26</v>
      </c>
      <c r="G3073" s="378" t="s">
        <v>26</v>
      </c>
      <c r="H3073" s="379" t="s">
        <v>130</v>
      </c>
    </row>
    <row r="3074" spans="1:8" ht="15.75">
      <c r="A3074" s="376" t="s">
        <v>757</v>
      </c>
      <c r="B3074" s="382" t="s">
        <v>145</v>
      </c>
      <c r="C3074" s="378" t="s">
        <v>315</v>
      </c>
      <c r="D3074" s="378" t="s">
        <v>308</v>
      </c>
      <c r="E3074" s="378" t="s">
        <v>26</v>
      </c>
      <c r="F3074" s="378" t="s">
        <v>26</v>
      </c>
      <c r="G3074" s="383">
        <v>0</v>
      </c>
      <c r="H3074" s="379"/>
    </row>
    <row r="3075" spans="1:8" ht="15.75">
      <c r="A3075" s="376" t="s">
        <v>147</v>
      </c>
      <c r="B3075" s="382" t="s">
        <v>148</v>
      </c>
      <c r="C3075" s="378" t="s">
        <v>300</v>
      </c>
      <c r="D3075" s="378" t="s">
        <v>316</v>
      </c>
      <c r="E3075" s="378" t="s">
        <v>26</v>
      </c>
      <c r="F3075" s="378" t="s">
        <v>26</v>
      </c>
      <c r="G3075" s="383">
        <v>0</v>
      </c>
      <c r="H3075" s="379"/>
    </row>
    <row r="3076" spans="1:8" ht="15.75">
      <c r="A3076" s="376" t="s">
        <v>151</v>
      </c>
      <c r="B3076" s="382" t="s">
        <v>152</v>
      </c>
      <c r="C3076" s="378" t="s">
        <v>317</v>
      </c>
      <c r="D3076" s="378" t="s">
        <v>318</v>
      </c>
      <c r="E3076" s="378" t="s">
        <v>26</v>
      </c>
      <c r="F3076" s="378" t="s">
        <v>26</v>
      </c>
      <c r="G3076" s="383">
        <v>0</v>
      </c>
      <c r="H3076" s="379"/>
    </row>
    <row r="3077" spans="1:8" ht="15.75">
      <c r="A3077" s="376" t="s">
        <v>155</v>
      </c>
      <c r="B3077" s="382" t="s">
        <v>156</v>
      </c>
      <c r="C3077" s="378" t="s">
        <v>284</v>
      </c>
      <c r="D3077" s="378" t="s">
        <v>319</v>
      </c>
      <c r="E3077" s="378" t="s">
        <v>26</v>
      </c>
      <c r="F3077" s="378" t="s">
        <v>26</v>
      </c>
      <c r="G3077" s="383">
        <v>0</v>
      </c>
      <c r="H3077" s="379"/>
    </row>
    <row r="3078" spans="1:8" ht="18.75" customHeight="1">
      <c r="A3078" s="376">
        <v>4</v>
      </c>
      <c r="B3078" s="579" t="s">
        <v>159</v>
      </c>
      <c r="C3078" s="579"/>
      <c r="D3078" s="579"/>
      <c r="E3078" s="579"/>
      <c r="F3078" s="579"/>
      <c r="G3078" s="579"/>
      <c r="H3078" s="579"/>
    </row>
    <row r="3079" spans="1:8" ht="31.5">
      <c r="A3079" s="376" t="s">
        <v>160</v>
      </c>
      <c r="B3079" s="381" t="s">
        <v>161</v>
      </c>
      <c r="C3079" s="378" t="s">
        <v>26</v>
      </c>
      <c r="D3079" s="378" t="s">
        <v>26</v>
      </c>
      <c r="E3079" s="378" t="s">
        <v>26</v>
      </c>
      <c r="F3079" s="378" t="s">
        <v>26</v>
      </c>
      <c r="G3079" s="378" t="s">
        <v>26</v>
      </c>
      <c r="H3079" s="379" t="s">
        <v>130</v>
      </c>
    </row>
    <row r="3080" spans="1:8" ht="47.25">
      <c r="A3080" s="376" t="s">
        <v>162</v>
      </c>
      <c r="B3080" s="381" t="s">
        <v>163</v>
      </c>
      <c r="C3080" s="378" t="s">
        <v>26</v>
      </c>
      <c r="D3080" s="378" t="s">
        <v>26</v>
      </c>
      <c r="E3080" s="378" t="s">
        <v>26</v>
      </c>
      <c r="F3080" s="378" t="s">
        <v>26</v>
      </c>
      <c r="G3080" s="378" t="s">
        <v>26</v>
      </c>
      <c r="H3080" s="379" t="s">
        <v>130</v>
      </c>
    </row>
    <row r="3081" spans="1:8" ht="31.5">
      <c r="A3081" s="376" t="s">
        <v>164</v>
      </c>
      <c r="B3081" s="382" t="s">
        <v>165</v>
      </c>
      <c r="C3081" s="378" t="s">
        <v>26</v>
      </c>
      <c r="D3081" s="378" t="s">
        <v>26</v>
      </c>
      <c r="E3081" s="378" t="s">
        <v>26</v>
      </c>
      <c r="F3081" s="378" t="s">
        <v>26</v>
      </c>
      <c r="G3081" s="378" t="s">
        <v>26</v>
      </c>
      <c r="H3081" s="379" t="s">
        <v>130</v>
      </c>
    </row>
    <row r="3082" spans="1:8" ht="31.5">
      <c r="A3082" s="384" t="s">
        <v>166</v>
      </c>
      <c r="B3082" s="385" t="s">
        <v>167</v>
      </c>
      <c r="C3082" s="386" t="s">
        <v>26</v>
      </c>
      <c r="D3082" s="386" t="s">
        <v>26</v>
      </c>
      <c r="E3082" s="386" t="s">
        <v>26</v>
      </c>
      <c r="F3082" s="386" t="s">
        <v>26</v>
      </c>
      <c r="G3082" s="386" t="s">
        <v>26</v>
      </c>
      <c r="H3082" s="387" t="s">
        <v>130</v>
      </c>
    </row>
    <row r="3083" spans="1:8" ht="15.75">
      <c r="A3083" s="388"/>
      <c r="B3083" s="389"/>
      <c r="C3083" s="390"/>
      <c r="D3083" s="390"/>
      <c r="E3083" s="390"/>
      <c r="F3083" s="390"/>
      <c r="G3083" s="390"/>
      <c r="H3083" s="98"/>
    </row>
    <row r="3084" spans="1:8" ht="18.75" customHeight="1">
      <c r="A3084" s="580" t="s">
        <v>168</v>
      </c>
      <c r="B3084" s="580"/>
      <c r="C3084" s="580"/>
      <c r="D3084" s="580"/>
      <c r="E3084" s="580"/>
      <c r="F3084" s="580"/>
      <c r="G3084" s="580"/>
      <c r="H3084" s="580"/>
    </row>
    <row r="3085" spans="1:8" ht="15.75">
      <c r="A3085" s="391"/>
      <c r="B3085" s="391"/>
      <c r="C3085" s="391"/>
      <c r="D3085" s="391"/>
      <c r="E3085" s="391"/>
      <c r="F3085" s="391"/>
      <c r="G3085" s="391"/>
      <c r="H3085" s="391"/>
    </row>
    <row r="3086" spans="1:8" ht="15.75">
      <c r="A3086" s="391"/>
      <c r="B3086" s="391"/>
      <c r="C3086" s="391"/>
      <c r="D3086" s="391"/>
      <c r="E3086" s="391"/>
      <c r="F3086" s="391"/>
      <c r="G3086" s="391"/>
      <c r="H3086" s="391"/>
    </row>
    <row r="3087" ht="15.75">
      <c r="H3087" s="6" t="s">
        <v>113</v>
      </c>
    </row>
    <row r="3088" ht="15.75">
      <c r="H3088" s="6" t="s">
        <v>114</v>
      </c>
    </row>
    <row r="3089" ht="15.75">
      <c r="H3089" s="6" t="s">
        <v>115</v>
      </c>
    </row>
    <row r="3090" ht="15.75">
      <c r="H3090" s="6"/>
    </row>
    <row r="3091" spans="1:8" ht="18.75" customHeight="1">
      <c r="A3091" s="622" t="s">
        <v>116</v>
      </c>
      <c r="B3091" s="622"/>
      <c r="C3091" s="622"/>
      <c r="D3091" s="622"/>
      <c r="E3091" s="622"/>
      <c r="F3091" s="622"/>
      <c r="G3091" s="622"/>
      <c r="H3091" s="622"/>
    </row>
    <row r="3092" spans="1:8" ht="18.75" customHeight="1">
      <c r="A3092" s="622" t="s">
        <v>117</v>
      </c>
      <c r="B3092" s="622"/>
      <c r="C3092" s="622"/>
      <c r="D3092" s="622"/>
      <c r="E3092" s="622"/>
      <c r="F3092" s="622"/>
      <c r="G3092" s="622"/>
      <c r="H3092" s="622"/>
    </row>
    <row r="3093" ht="15.75">
      <c r="H3093" s="6" t="s">
        <v>562</v>
      </c>
    </row>
    <row r="3094" ht="15.75">
      <c r="H3094" s="6" t="s">
        <v>769</v>
      </c>
    </row>
    <row r="3095" ht="15.75">
      <c r="H3095" s="6" t="s">
        <v>770</v>
      </c>
    </row>
    <row r="3096" ht="15.75">
      <c r="H3096" s="361" t="str">
        <f>H11</f>
        <v>                         Добровольский К.А.</v>
      </c>
    </row>
    <row r="3097" ht="15.75">
      <c r="H3097" s="6" t="s">
        <v>772</v>
      </c>
    </row>
    <row r="3098" ht="15.75">
      <c r="H3098" s="6" t="s">
        <v>567</v>
      </c>
    </row>
    <row r="3099" ht="15.75">
      <c r="A3099" s="362"/>
    </row>
    <row r="3100" ht="15.75">
      <c r="A3100" s="343" t="s">
        <v>329</v>
      </c>
    </row>
    <row r="3101" spans="1:8" ht="18.75" customHeight="1">
      <c r="A3101" s="623" t="s">
        <v>120</v>
      </c>
      <c r="B3101" s="623"/>
      <c r="C3101" s="623"/>
      <c r="D3101" s="623"/>
      <c r="E3101" s="623"/>
      <c r="F3101" s="623"/>
      <c r="G3101" s="623"/>
      <c r="H3101" s="623"/>
    </row>
    <row r="3102" spans="1:8" ht="15.75">
      <c r="A3102" s="364"/>
      <c r="B3102" s="364"/>
      <c r="C3102" s="366"/>
      <c r="D3102" s="366"/>
      <c r="E3102" s="366"/>
      <c r="F3102" s="366"/>
      <c r="G3102" s="366"/>
      <c r="H3102" s="366"/>
    </row>
    <row r="3103" spans="1:8" ht="16.5" customHeight="1">
      <c r="A3103" s="581" t="s">
        <v>121</v>
      </c>
      <c r="B3103" s="559" t="s">
        <v>122</v>
      </c>
      <c r="C3103" s="560" t="s">
        <v>123</v>
      </c>
      <c r="D3103" s="560"/>
      <c r="E3103" s="560"/>
      <c r="F3103" s="560"/>
      <c r="G3103" s="561" t="s">
        <v>124</v>
      </c>
      <c r="H3103" s="581" t="s">
        <v>125</v>
      </c>
    </row>
    <row r="3104" spans="1:8" ht="15.75">
      <c r="A3104" s="581"/>
      <c r="B3104" s="559"/>
      <c r="C3104" s="560"/>
      <c r="D3104" s="560"/>
      <c r="E3104" s="560"/>
      <c r="F3104" s="560"/>
      <c r="G3104" s="561"/>
      <c r="H3104" s="581"/>
    </row>
    <row r="3105" spans="1:8" ht="31.5">
      <c r="A3105" s="581"/>
      <c r="B3105" s="559"/>
      <c r="C3105" s="369" t="s">
        <v>126</v>
      </c>
      <c r="D3105" s="369" t="s">
        <v>127</v>
      </c>
      <c r="E3105" s="370" t="s">
        <v>126</v>
      </c>
      <c r="F3105" s="371" t="s">
        <v>127</v>
      </c>
      <c r="G3105" s="561"/>
      <c r="H3105" s="581"/>
    </row>
    <row r="3106" spans="1:8" ht="15.75">
      <c r="A3106" s="367">
        <v>1</v>
      </c>
      <c r="B3106" s="367">
        <v>2</v>
      </c>
      <c r="C3106" s="372">
        <v>3</v>
      </c>
      <c r="D3106" s="372">
        <v>4</v>
      </c>
      <c r="E3106" s="373"/>
      <c r="F3106" s="374"/>
      <c r="G3106" s="368">
        <v>5</v>
      </c>
      <c r="H3106" s="367">
        <v>6</v>
      </c>
    </row>
    <row r="3107" spans="1:8" ht="18.75" customHeight="1">
      <c r="A3107" s="375">
        <v>1</v>
      </c>
      <c r="B3107" s="582" t="s">
        <v>128</v>
      </c>
      <c r="C3107" s="582"/>
      <c r="D3107" s="582"/>
      <c r="E3107" s="582"/>
      <c r="F3107" s="582"/>
      <c r="G3107" s="582"/>
      <c r="H3107" s="582"/>
    </row>
    <row r="3108" spans="1:8" ht="15.75">
      <c r="A3108" s="376" t="s">
        <v>594</v>
      </c>
      <c r="B3108" s="377" t="s">
        <v>129</v>
      </c>
      <c r="C3108" s="378" t="s">
        <v>26</v>
      </c>
      <c r="D3108" s="378" t="s">
        <v>26</v>
      </c>
      <c r="E3108" s="378" t="s">
        <v>26</v>
      </c>
      <c r="F3108" s="378" t="s">
        <v>26</v>
      </c>
      <c r="G3108" s="378" t="s">
        <v>26</v>
      </c>
      <c r="H3108" s="379" t="s">
        <v>130</v>
      </c>
    </row>
    <row r="3109" spans="1:8" ht="15.75">
      <c r="A3109" s="376" t="s">
        <v>735</v>
      </c>
      <c r="B3109" s="377" t="s">
        <v>131</v>
      </c>
      <c r="C3109" s="378" t="s">
        <v>26</v>
      </c>
      <c r="D3109" s="378" t="s">
        <v>26</v>
      </c>
      <c r="E3109" s="378" t="s">
        <v>26</v>
      </c>
      <c r="F3109" s="378" t="s">
        <v>26</v>
      </c>
      <c r="G3109" s="378" t="s">
        <v>26</v>
      </c>
      <c r="H3109" s="379" t="s">
        <v>130</v>
      </c>
    </row>
    <row r="3110" spans="1:8" ht="31.5">
      <c r="A3110" s="376" t="s">
        <v>737</v>
      </c>
      <c r="B3110" s="381" t="s">
        <v>132</v>
      </c>
      <c r="C3110" s="566" t="s">
        <v>101</v>
      </c>
      <c r="D3110" s="566" t="s">
        <v>102</v>
      </c>
      <c r="E3110" s="378" t="s">
        <v>26</v>
      </c>
      <c r="F3110" s="378" t="s">
        <v>26</v>
      </c>
      <c r="G3110" s="378" t="s">
        <v>26</v>
      </c>
      <c r="H3110" s="379" t="s">
        <v>130</v>
      </c>
    </row>
    <row r="3111" spans="1:8" ht="47.25">
      <c r="A3111" s="376" t="s">
        <v>739</v>
      </c>
      <c r="B3111" s="381" t="s">
        <v>133</v>
      </c>
      <c r="C3111" s="566" t="s">
        <v>103</v>
      </c>
      <c r="D3111" s="566" t="s">
        <v>104</v>
      </c>
      <c r="E3111" s="378" t="s">
        <v>26</v>
      </c>
      <c r="F3111" s="378" t="s">
        <v>26</v>
      </c>
      <c r="G3111" s="378" t="s">
        <v>26</v>
      </c>
      <c r="H3111" s="379" t="s">
        <v>130</v>
      </c>
    </row>
    <row r="3112" spans="1:8" ht="15.75">
      <c r="A3112" s="376" t="s">
        <v>852</v>
      </c>
      <c r="B3112" s="382" t="s">
        <v>134</v>
      </c>
      <c r="C3112" s="566" t="s">
        <v>105</v>
      </c>
      <c r="D3112" s="566" t="s">
        <v>106</v>
      </c>
      <c r="E3112" s="378" t="s">
        <v>26</v>
      </c>
      <c r="F3112" s="378" t="s">
        <v>26</v>
      </c>
      <c r="G3112" s="378" t="s">
        <v>26</v>
      </c>
      <c r="H3112" s="379" t="s">
        <v>130</v>
      </c>
    </row>
    <row r="3113" spans="1:8" ht="15.75">
      <c r="A3113" s="376" t="s">
        <v>853</v>
      </c>
      <c r="B3113" s="382" t="s">
        <v>135</v>
      </c>
      <c r="C3113" s="566" t="s">
        <v>101</v>
      </c>
      <c r="D3113" s="566" t="s">
        <v>107</v>
      </c>
      <c r="E3113" s="378" t="s">
        <v>26</v>
      </c>
      <c r="F3113" s="378" t="s">
        <v>26</v>
      </c>
      <c r="G3113" s="378" t="s">
        <v>26</v>
      </c>
      <c r="H3113" s="379" t="s">
        <v>130</v>
      </c>
    </row>
    <row r="3114" spans="1:8" ht="18.75" customHeight="1">
      <c r="A3114" s="376">
        <v>2</v>
      </c>
      <c r="B3114" s="579" t="s">
        <v>136</v>
      </c>
      <c r="C3114" s="579"/>
      <c r="D3114" s="579"/>
      <c r="E3114" s="579"/>
      <c r="F3114" s="579"/>
      <c r="G3114" s="579"/>
      <c r="H3114" s="579"/>
    </row>
    <row r="3115" spans="1:8" ht="31.5">
      <c r="A3115" s="376" t="s">
        <v>743</v>
      </c>
      <c r="B3115" s="381" t="s">
        <v>137</v>
      </c>
      <c r="C3115" s="378" t="s">
        <v>315</v>
      </c>
      <c r="D3115" s="378" t="s">
        <v>286</v>
      </c>
      <c r="E3115" s="378" t="s">
        <v>26</v>
      </c>
      <c r="F3115" s="378" t="s">
        <v>26</v>
      </c>
      <c r="G3115" s="383">
        <v>0</v>
      </c>
      <c r="H3115" s="379"/>
    </row>
    <row r="3116" spans="1:8" ht="47.25">
      <c r="A3116" s="376" t="s">
        <v>746</v>
      </c>
      <c r="B3116" s="381" t="s">
        <v>140</v>
      </c>
      <c r="C3116" s="378" t="s">
        <v>26</v>
      </c>
      <c r="D3116" s="378" t="s">
        <v>26</v>
      </c>
      <c r="E3116" s="378" t="s">
        <v>26</v>
      </c>
      <c r="F3116" s="378" t="s">
        <v>26</v>
      </c>
      <c r="G3116" s="378" t="s">
        <v>26</v>
      </c>
      <c r="H3116" s="379" t="s">
        <v>130</v>
      </c>
    </row>
    <row r="3117" spans="1:8" ht="31.5">
      <c r="A3117" s="376" t="s">
        <v>141</v>
      </c>
      <c r="B3117" s="381" t="s">
        <v>142</v>
      </c>
      <c r="C3117" s="378" t="s">
        <v>26</v>
      </c>
      <c r="D3117" s="378" t="s">
        <v>26</v>
      </c>
      <c r="E3117" s="378" t="s">
        <v>26</v>
      </c>
      <c r="F3117" s="378" t="s">
        <v>26</v>
      </c>
      <c r="G3117" s="378" t="s">
        <v>26</v>
      </c>
      <c r="H3117" s="379" t="s">
        <v>130</v>
      </c>
    </row>
    <row r="3118" spans="1:8" ht="18.75" customHeight="1">
      <c r="A3118" s="376">
        <v>3</v>
      </c>
      <c r="B3118" s="579" t="s">
        <v>143</v>
      </c>
      <c r="C3118" s="579"/>
      <c r="D3118" s="579"/>
      <c r="E3118" s="579"/>
      <c r="F3118" s="579"/>
      <c r="G3118" s="579"/>
      <c r="H3118" s="579"/>
    </row>
    <row r="3119" spans="1:8" ht="31.5">
      <c r="A3119" s="376" t="s">
        <v>756</v>
      </c>
      <c r="B3119" s="382" t="s">
        <v>144</v>
      </c>
      <c r="C3119" s="378" t="s">
        <v>26</v>
      </c>
      <c r="D3119" s="378" t="s">
        <v>26</v>
      </c>
      <c r="E3119" s="378" t="s">
        <v>26</v>
      </c>
      <c r="F3119" s="378" t="s">
        <v>26</v>
      </c>
      <c r="G3119" s="378" t="s">
        <v>26</v>
      </c>
      <c r="H3119" s="379" t="s">
        <v>130</v>
      </c>
    </row>
    <row r="3120" spans="1:8" ht="15.75">
      <c r="A3120" s="376" t="s">
        <v>757</v>
      </c>
      <c r="B3120" s="382" t="s">
        <v>145</v>
      </c>
      <c r="C3120" s="378" t="s">
        <v>315</v>
      </c>
      <c r="D3120" s="378" t="s">
        <v>308</v>
      </c>
      <c r="E3120" s="378" t="s">
        <v>26</v>
      </c>
      <c r="F3120" s="378" t="s">
        <v>26</v>
      </c>
      <c r="G3120" s="383">
        <v>0</v>
      </c>
      <c r="H3120" s="379"/>
    </row>
    <row r="3121" spans="1:8" ht="15.75">
      <c r="A3121" s="376" t="s">
        <v>147</v>
      </c>
      <c r="B3121" s="382" t="s">
        <v>148</v>
      </c>
      <c r="C3121" s="378" t="s">
        <v>300</v>
      </c>
      <c r="D3121" s="378" t="s">
        <v>316</v>
      </c>
      <c r="E3121" s="378" t="s">
        <v>26</v>
      </c>
      <c r="F3121" s="378" t="s">
        <v>26</v>
      </c>
      <c r="G3121" s="383">
        <v>0</v>
      </c>
      <c r="H3121" s="379"/>
    </row>
    <row r="3122" spans="1:8" ht="15.75">
      <c r="A3122" s="376" t="s">
        <v>151</v>
      </c>
      <c r="B3122" s="382" t="s">
        <v>152</v>
      </c>
      <c r="C3122" s="378" t="s">
        <v>317</v>
      </c>
      <c r="D3122" s="378" t="s">
        <v>318</v>
      </c>
      <c r="E3122" s="378" t="s">
        <v>26</v>
      </c>
      <c r="F3122" s="378" t="s">
        <v>26</v>
      </c>
      <c r="G3122" s="383">
        <v>0</v>
      </c>
      <c r="H3122" s="379"/>
    </row>
    <row r="3123" spans="1:8" ht="15.75">
      <c r="A3123" s="376" t="s">
        <v>155</v>
      </c>
      <c r="B3123" s="382" t="s">
        <v>156</v>
      </c>
      <c r="C3123" s="378" t="s">
        <v>284</v>
      </c>
      <c r="D3123" s="378" t="s">
        <v>319</v>
      </c>
      <c r="E3123" s="378" t="s">
        <v>26</v>
      </c>
      <c r="F3123" s="378" t="s">
        <v>26</v>
      </c>
      <c r="G3123" s="383">
        <v>0</v>
      </c>
      <c r="H3123" s="379"/>
    </row>
    <row r="3124" spans="1:8" ht="18.75" customHeight="1">
      <c r="A3124" s="376">
        <v>4</v>
      </c>
      <c r="B3124" s="579" t="s">
        <v>159</v>
      </c>
      <c r="C3124" s="579"/>
      <c r="D3124" s="579"/>
      <c r="E3124" s="579"/>
      <c r="F3124" s="579"/>
      <c r="G3124" s="579"/>
      <c r="H3124" s="579"/>
    </row>
    <row r="3125" spans="1:8" ht="31.5">
      <c r="A3125" s="376" t="s">
        <v>160</v>
      </c>
      <c r="B3125" s="381" t="s">
        <v>161</v>
      </c>
      <c r="C3125" s="378" t="s">
        <v>26</v>
      </c>
      <c r="D3125" s="378" t="s">
        <v>26</v>
      </c>
      <c r="E3125" s="378" t="s">
        <v>26</v>
      </c>
      <c r="F3125" s="378" t="s">
        <v>26</v>
      </c>
      <c r="G3125" s="378" t="s">
        <v>26</v>
      </c>
      <c r="H3125" s="379" t="s">
        <v>130</v>
      </c>
    </row>
    <row r="3126" spans="1:8" ht="47.25">
      <c r="A3126" s="376" t="s">
        <v>162</v>
      </c>
      <c r="B3126" s="381" t="s">
        <v>163</v>
      </c>
      <c r="C3126" s="378" t="s">
        <v>26</v>
      </c>
      <c r="D3126" s="378" t="s">
        <v>26</v>
      </c>
      <c r="E3126" s="378" t="s">
        <v>26</v>
      </c>
      <c r="F3126" s="378" t="s">
        <v>26</v>
      </c>
      <c r="G3126" s="378" t="s">
        <v>26</v>
      </c>
      <c r="H3126" s="379" t="s">
        <v>130</v>
      </c>
    </row>
    <row r="3127" spans="1:8" ht="31.5">
      <c r="A3127" s="376" t="s">
        <v>164</v>
      </c>
      <c r="B3127" s="382" t="s">
        <v>165</v>
      </c>
      <c r="C3127" s="378" t="s">
        <v>26</v>
      </c>
      <c r="D3127" s="378" t="s">
        <v>26</v>
      </c>
      <c r="E3127" s="378" t="s">
        <v>26</v>
      </c>
      <c r="F3127" s="378" t="s">
        <v>26</v>
      </c>
      <c r="G3127" s="378" t="s">
        <v>26</v>
      </c>
      <c r="H3127" s="379" t="s">
        <v>130</v>
      </c>
    </row>
    <row r="3128" spans="1:8" ht="31.5">
      <c r="A3128" s="384" t="s">
        <v>166</v>
      </c>
      <c r="B3128" s="385" t="s">
        <v>167</v>
      </c>
      <c r="C3128" s="386" t="s">
        <v>26</v>
      </c>
      <c r="D3128" s="386" t="s">
        <v>26</v>
      </c>
      <c r="E3128" s="386" t="s">
        <v>26</v>
      </c>
      <c r="F3128" s="386" t="s">
        <v>26</v>
      </c>
      <c r="G3128" s="386" t="s">
        <v>26</v>
      </c>
      <c r="H3128" s="387" t="s">
        <v>130</v>
      </c>
    </row>
    <row r="3129" spans="1:8" ht="15.75">
      <c r="A3129" s="388"/>
      <c r="B3129" s="389"/>
      <c r="C3129" s="390"/>
      <c r="D3129" s="390"/>
      <c r="E3129" s="390"/>
      <c r="F3129" s="390"/>
      <c r="G3129" s="390"/>
      <c r="H3129" s="98"/>
    </row>
    <row r="3130" spans="1:8" ht="18.75" customHeight="1">
      <c r="A3130" s="580" t="s">
        <v>168</v>
      </c>
      <c r="B3130" s="580"/>
      <c r="C3130" s="580"/>
      <c r="D3130" s="580"/>
      <c r="E3130" s="580"/>
      <c r="F3130" s="580"/>
      <c r="G3130" s="580"/>
      <c r="H3130" s="580"/>
    </row>
    <row r="3131" spans="1:8" ht="15.75">
      <c r="A3131" s="391"/>
      <c r="B3131" s="391"/>
      <c r="C3131" s="391"/>
      <c r="D3131" s="391"/>
      <c r="E3131" s="391"/>
      <c r="F3131" s="391"/>
      <c r="G3131" s="391"/>
      <c r="H3131" s="391"/>
    </row>
    <row r="3132" spans="1:8" ht="15.75">
      <c r="A3132" s="391"/>
      <c r="B3132" s="391"/>
      <c r="C3132" s="391"/>
      <c r="D3132" s="391"/>
      <c r="E3132" s="391"/>
      <c r="F3132" s="391"/>
      <c r="G3132" s="391"/>
      <c r="H3132" s="391"/>
    </row>
    <row r="3133" ht="15.75">
      <c r="H3133" s="6" t="s">
        <v>113</v>
      </c>
    </row>
    <row r="3134" ht="15.75">
      <c r="H3134" s="6" t="s">
        <v>114</v>
      </c>
    </row>
    <row r="3135" ht="15.75">
      <c r="H3135" s="6" t="s">
        <v>115</v>
      </c>
    </row>
    <row r="3136" ht="15.75">
      <c r="H3136" s="6"/>
    </row>
    <row r="3137" spans="1:8" ht="18.75" customHeight="1">
      <c r="A3137" s="622" t="s">
        <v>116</v>
      </c>
      <c r="B3137" s="622"/>
      <c r="C3137" s="622"/>
      <c r="D3137" s="622"/>
      <c r="E3137" s="622"/>
      <c r="F3137" s="622"/>
      <c r="G3137" s="622"/>
      <c r="H3137" s="622"/>
    </row>
    <row r="3138" spans="1:8" ht="18.75" customHeight="1">
      <c r="A3138" s="622" t="s">
        <v>117</v>
      </c>
      <c r="B3138" s="622"/>
      <c r="C3138" s="622"/>
      <c r="D3138" s="622"/>
      <c r="E3138" s="622"/>
      <c r="F3138" s="622"/>
      <c r="G3138" s="622"/>
      <c r="H3138" s="622"/>
    </row>
    <row r="3139" ht="15.75">
      <c r="H3139" s="6" t="s">
        <v>562</v>
      </c>
    </row>
    <row r="3140" ht="15.75">
      <c r="H3140" s="6" t="s">
        <v>769</v>
      </c>
    </row>
    <row r="3141" ht="15.75">
      <c r="H3141" s="6" t="s">
        <v>770</v>
      </c>
    </row>
    <row r="3142" ht="15.75">
      <c r="H3142" s="361" t="str">
        <f>H11</f>
        <v>                         Добровольский К.А.</v>
      </c>
    </row>
    <row r="3143" ht="15.75">
      <c r="H3143" s="6" t="s">
        <v>772</v>
      </c>
    </row>
    <row r="3144" ht="15.75">
      <c r="H3144" s="6" t="s">
        <v>567</v>
      </c>
    </row>
    <row r="3145" ht="15.75">
      <c r="A3145" s="362"/>
    </row>
    <row r="3146" ht="15.75">
      <c r="A3146" s="343" t="s">
        <v>330</v>
      </c>
    </row>
    <row r="3147" spans="1:8" ht="18.75" customHeight="1">
      <c r="A3147" s="623" t="s">
        <v>120</v>
      </c>
      <c r="B3147" s="623"/>
      <c r="C3147" s="623"/>
      <c r="D3147" s="623"/>
      <c r="E3147" s="623"/>
      <c r="F3147" s="623"/>
      <c r="G3147" s="623"/>
      <c r="H3147" s="623"/>
    </row>
    <row r="3148" spans="1:8" ht="15.75">
      <c r="A3148" s="364"/>
      <c r="B3148" s="364"/>
      <c r="C3148" s="366"/>
      <c r="D3148" s="366"/>
      <c r="E3148" s="366"/>
      <c r="F3148" s="366"/>
      <c r="G3148" s="366"/>
      <c r="H3148" s="366"/>
    </row>
    <row r="3149" spans="1:8" ht="16.5" customHeight="1">
      <c r="A3149" s="581" t="s">
        <v>121</v>
      </c>
      <c r="B3149" s="559" t="s">
        <v>122</v>
      </c>
      <c r="C3149" s="560" t="s">
        <v>123</v>
      </c>
      <c r="D3149" s="560"/>
      <c r="E3149" s="560"/>
      <c r="F3149" s="560"/>
      <c r="G3149" s="561" t="s">
        <v>124</v>
      </c>
      <c r="H3149" s="581" t="s">
        <v>125</v>
      </c>
    </row>
    <row r="3150" spans="1:8" ht="15.75">
      <c r="A3150" s="581"/>
      <c r="B3150" s="559"/>
      <c r="C3150" s="560"/>
      <c r="D3150" s="560"/>
      <c r="E3150" s="560"/>
      <c r="F3150" s="560"/>
      <c r="G3150" s="561"/>
      <c r="H3150" s="581"/>
    </row>
    <row r="3151" spans="1:8" ht="31.5">
      <c r="A3151" s="581"/>
      <c r="B3151" s="559"/>
      <c r="C3151" s="369" t="s">
        <v>126</v>
      </c>
      <c r="D3151" s="369" t="s">
        <v>127</v>
      </c>
      <c r="E3151" s="370" t="s">
        <v>126</v>
      </c>
      <c r="F3151" s="371" t="s">
        <v>127</v>
      </c>
      <c r="G3151" s="561"/>
      <c r="H3151" s="581"/>
    </row>
    <row r="3152" spans="1:8" ht="15.75">
      <c r="A3152" s="367">
        <v>1</v>
      </c>
      <c r="B3152" s="367">
        <v>2</v>
      </c>
      <c r="C3152" s="372">
        <v>3</v>
      </c>
      <c r="D3152" s="372">
        <v>4</v>
      </c>
      <c r="E3152" s="373"/>
      <c r="F3152" s="374"/>
      <c r="G3152" s="368">
        <v>5</v>
      </c>
      <c r="H3152" s="367">
        <v>6</v>
      </c>
    </row>
    <row r="3153" spans="1:8" ht="18.75" customHeight="1">
      <c r="A3153" s="375">
        <v>1</v>
      </c>
      <c r="B3153" s="582" t="s">
        <v>128</v>
      </c>
      <c r="C3153" s="582"/>
      <c r="D3153" s="582"/>
      <c r="E3153" s="582"/>
      <c r="F3153" s="582"/>
      <c r="G3153" s="582"/>
      <c r="H3153" s="582"/>
    </row>
    <row r="3154" spans="1:8" ht="15.75">
      <c r="A3154" s="376" t="s">
        <v>594</v>
      </c>
      <c r="B3154" s="377" t="s">
        <v>129</v>
      </c>
      <c r="C3154" s="378" t="s">
        <v>26</v>
      </c>
      <c r="D3154" s="378" t="s">
        <v>26</v>
      </c>
      <c r="E3154" s="378" t="s">
        <v>26</v>
      </c>
      <c r="F3154" s="378" t="s">
        <v>26</v>
      </c>
      <c r="G3154" s="378" t="s">
        <v>26</v>
      </c>
      <c r="H3154" s="379" t="s">
        <v>130</v>
      </c>
    </row>
    <row r="3155" spans="1:8" ht="15.75">
      <c r="A3155" s="376" t="s">
        <v>735</v>
      </c>
      <c r="B3155" s="377" t="s">
        <v>131</v>
      </c>
      <c r="C3155" s="378" t="s">
        <v>26</v>
      </c>
      <c r="D3155" s="378" t="s">
        <v>26</v>
      </c>
      <c r="E3155" s="378" t="s">
        <v>26</v>
      </c>
      <c r="F3155" s="378" t="s">
        <v>26</v>
      </c>
      <c r="G3155" s="378" t="s">
        <v>26</v>
      </c>
      <c r="H3155" s="379" t="s">
        <v>130</v>
      </c>
    </row>
    <row r="3156" spans="1:8" ht="31.5">
      <c r="A3156" s="376" t="s">
        <v>737</v>
      </c>
      <c r="B3156" s="381" t="s">
        <v>132</v>
      </c>
      <c r="C3156" s="566" t="s">
        <v>101</v>
      </c>
      <c r="D3156" s="566" t="s">
        <v>102</v>
      </c>
      <c r="E3156" s="378" t="s">
        <v>26</v>
      </c>
      <c r="F3156" s="378" t="s">
        <v>26</v>
      </c>
      <c r="G3156" s="378" t="s">
        <v>26</v>
      </c>
      <c r="H3156" s="379" t="s">
        <v>130</v>
      </c>
    </row>
    <row r="3157" spans="1:8" ht="47.25">
      <c r="A3157" s="376" t="s">
        <v>739</v>
      </c>
      <c r="B3157" s="381" t="s">
        <v>133</v>
      </c>
      <c r="C3157" s="566" t="s">
        <v>103</v>
      </c>
      <c r="D3157" s="566" t="s">
        <v>104</v>
      </c>
      <c r="E3157" s="378" t="s">
        <v>26</v>
      </c>
      <c r="F3157" s="378" t="s">
        <v>26</v>
      </c>
      <c r="G3157" s="378" t="s">
        <v>26</v>
      </c>
      <c r="H3157" s="379" t="s">
        <v>130</v>
      </c>
    </row>
    <row r="3158" spans="1:8" ht="15.75">
      <c r="A3158" s="376" t="s">
        <v>852</v>
      </c>
      <c r="B3158" s="382" t="s">
        <v>134</v>
      </c>
      <c r="C3158" s="566" t="s">
        <v>105</v>
      </c>
      <c r="D3158" s="566" t="s">
        <v>106</v>
      </c>
      <c r="E3158" s="378" t="s">
        <v>26</v>
      </c>
      <c r="F3158" s="378" t="s">
        <v>26</v>
      </c>
      <c r="G3158" s="378" t="s">
        <v>26</v>
      </c>
      <c r="H3158" s="379" t="s">
        <v>130</v>
      </c>
    </row>
    <row r="3159" spans="1:8" ht="15.75">
      <c r="A3159" s="376" t="s">
        <v>853</v>
      </c>
      <c r="B3159" s="382" t="s">
        <v>135</v>
      </c>
      <c r="C3159" s="566" t="s">
        <v>101</v>
      </c>
      <c r="D3159" s="566" t="s">
        <v>107</v>
      </c>
      <c r="E3159" s="378" t="s">
        <v>26</v>
      </c>
      <c r="F3159" s="378" t="s">
        <v>26</v>
      </c>
      <c r="G3159" s="378" t="s">
        <v>26</v>
      </c>
      <c r="H3159" s="379" t="s">
        <v>130</v>
      </c>
    </row>
    <row r="3160" spans="1:8" ht="18.75" customHeight="1">
      <c r="A3160" s="376">
        <v>2</v>
      </c>
      <c r="B3160" s="579" t="s">
        <v>136</v>
      </c>
      <c r="C3160" s="579"/>
      <c r="D3160" s="579"/>
      <c r="E3160" s="579"/>
      <c r="F3160" s="579"/>
      <c r="G3160" s="579"/>
      <c r="H3160" s="579"/>
    </row>
    <row r="3161" spans="1:8" ht="31.5">
      <c r="A3161" s="376" t="s">
        <v>743</v>
      </c>
      <c r="B3161" s="381" t="s">
        <v>137</v>
      </c>
      <c r="C3161" s="378" t="s">
        <v>315</v>
      </c>
      <c r="D3161" s="378" t="s">
        <v>286</v>
      </c>
      <c r="E3161" s="378" t="s">
        <v>26</v>
      </c>
      <c r="F3161" s="378" t="s">
        <v>26</v>
      </c>
      <c r="G3161" s="383">
        <v>0</v>
      </c>
      <c r="H3161" s="379"/>
    </row>
    <row r="3162" spans="1:8" ht="47.25">
      <c r="A3162" s="376" t="s">
        <v>746</v>
      </c>
      <c r="B3162" s="381" t="s">
        <v>140</v>
      </c>
      <c r="C3162" s="378" t="s">
        <v>26</v>
      </c>
      <c r="D3162" s="378" t="s">
        <v>26</v>
      </c>
      <c r="E3162" s="378" t="s">
        <v>26</v>
      </c>
      <c r="F3162" s="378" t="s">
        <v>26</v>
      </c>
      <c r="G3162" s="378" t="s">
        <v>26</v>
      </c>
      <c r="H3162" s="379" t="s">
        <v>130</v>
      </c>
    </row>
    <row r="3163" spans="1:8" ht="31.5">
      <c r="A3163" s="376" t="s">
        <v>141</v>
      </c>
      <c r="B3163" s="381" t="s">
        <v>142</v>
      </c>
      <c r="C3163" s="378" t="s">
        <v>26</v>
      </c>
      <c r="D3163" s="378" t="s">
        <v>26</v>
      </c>
      <c r="E3163" s="378" t="s">
        <v>26</v>
      </c>
      <c r="F3163" s="378" t="s">
        <v>26</v>
      </c>
      <c r="G3163" s="378" t="s">
        <v>26</v>
      </c>
      <c r="H3163" s="379" t="s">
        <v>130</v>
      </c>
    </row>
    <row r="3164" spans="1:8" ht="18.75" customHeight="1">
      <c r="A3164" s="376">
        <v>3</v>
      </c>
      <c r="B3164" s="579" t="s">
        <v>143</v>
      </c>
      <c r="C3164" s="579"/>
      <c r="D3164" s="579"/>
      <c r="E3164" s="579"/>
      <c r="F3164" s="579"/>
      <c r="G3164" s="579"/>
      <c r="H3164" s="579"/>
    </row>
    <row r="3165" spans="1:8" ht="31.5">
      <c r="A3165" s="376" t="s">
        <v>756</v>
      </c>
      <c r="B3165" s="382" t="s">
        <v>144</v>
      </c>
      <c r="C3165" s="378" t="s">
        <v>26</v>
      </c>
      <c r="D3165" s="378" t="s">
        <v>26</v>
      </c>
      <c r="E3165" s="378" t="s">
        <v>26</v>
      </c>
      <c r="F3165" s="378" t="s">
        <v>26</v>
      </c>
      <c r="G3165" s="378" t="s">
        <v>26</v>
      </c>
      <c r="H3165" s="379" t="s">
        <v>130</v>
      </c>
    </row>
    <row r="3166" spans="1:8" ht="15.75">
      <c r="A3166" s="376" t="s">
        <v>757</v>
      </c>
      <c r="B3166" s="382" t="s">
        <v>145</v>
      </c>
      <c r="C3166" s="378" t="s">
        <v>315</v>
      </c>
      <c r="D3166" s="378" t="s">
        <v>308</v>
      </c>
      <c r="E3166" s="378" t="s">
        <v>26</v>
      </c>
      <c r="F3166" s="378" t="s">
        <v>26</v>
      </c>
      <c r="G3166" s="383">
        <v>0</v>
      </c>
      <c r="H3166" s="379"/>
    </row>
    <row r="3167" spans="1:8" ht="15.75">
      <c r="A3167" s="376" t="s">
        <v>147</v>
      </c>
      <c r="B3167" s="382" t="s">
        <v>148</v>
      </c>
      <c r="C3167" s="378" t="s">
        <v>300</v>
      </c>
      <c r="D3167" s="378" t="s">
        <v>316</v>
      </c>
      <c r="E3167" s="378" t="s">
        <v>26</v>
      </c>
      <c r="F3167" s="378" t="s">
        <v>26</v>
      </c>
      <c r="G3167" s="383">
        <v>0</v>
      </c>
      <c r="H3167" s="379"/>
    </row>
    <row r="3168" spans="1:8" ht="15.75">
      <c r="A3168" s="376" t="s">
        <v>151</v>
      </c>
      <c r="B3168" s="382" t="s">
        <v>152</v>
      </c>
      <c r="C3168" s="378" t="s">
        <v>317</v>
      </c>
      <c r="D3168" s="378" t="s">
        <v>318</v>
      </c>
      <c r="E3168" s="378" t="s">
        <v>26</v>
      </c>
      <c r="F3168" s="378" t="s">
        <v>26</v>
      </c>
      <c r="G3168" s="383">
        <v>0</v>
      </c>
      <c r="H3168" s="379"/>
    </row>
    <row r="3169" spans="1:8" ht="15.75">
      <c r="A3169" s="376" t="s">
        <v>155</v>
      </c>
      <c r="B3169" s="382" t="s">
        <v>156</v>
      </c>
      <c r="C3169" s="378" t="s">
        <v>284</v>
      </c>
      <c r="D3169" s="378" t="s">
        <v>319</v>
      </c>
      <c r="E3169" s="378" t="s">
        <v>26</v>
      </c>
      <c r="F3169" s="378" t="s">
        <v>26</v>
      </c>
      <c r="G3169" s="383">
        <v>0</v>
      </c>
      <c r="H3169" s="379"/>
    </row>
    <row r="3170" spans="1:8" ht="18.75" customHeight="1">
      <c r="A3170" s="376">
        <v>4</v>
      </c>
      <c r="B3170" s="579" t="s">
        <v>159</v>
      </c>
      <c r="C3170" s="579"/>
      <c r="D3170" s="579"/>
      <c r="E3170" s="579"/>
      <c r="F3170" s="579"/>
      <c r="G3170" s="579"/>
      <c r="H3170" s="579"/>
    </row>
    <row r="3171" spans="1:8" ht="31.5">
      <c r="A3171" s="376" t="s">
        <v>160</v>
      </c>
      <c r="B3171" s="381" t="s">
        <v>161</v>
      </c>
      <c r="C3171" s="378" t="s">
        <v>26</v>
      </c>
      <c r="D3171" s="378" t="s">
        <v>26</v>
      </c>
      <c r="E3171" s="378" t="s">
        <v>26</v>
      </c>
      <c r="F3171" s="378" t="s">
        <v>26</v>
      </c>
      <c r="G3171" s="378" t="s">
        <v>26</v>
      </c>
      <c r="H3171" s="379" t="s">
        <v>130</v>
      </c>
    </row>
    <row r="3172" spans="1:8" ht="47.25">
      <c r="A3172" s="376" t="s">
        <v>162</v>
      </c>
      <c r="B3172" s="381" t="s">
        <v>163</v>
      </c>
      <c r="C3172" s="378" t="s">
        <v>26</v>
      </c>
      <c r="D3172" s="378" t="s">
        <v>26</v>
      </c>
      <c r="E3172" s="378" t="s">
        <v>26</v>
      </c>
      <c r="F3172" s="378" t="s">
        <v>26</v>
      </c>
      <c r="G3172" s="378" t="s">
        <v>26</v>
      </c>
      <c r="H3172" s="379" t="s">
        <v>130</v>
      </c>
    </row>
    <row r="3173" spans="1:8" ht="31.5">
      <c r="A3173" s="376" t="s">
        <v>164</v>
      </c>
      <c r="B3173" s="382" t="s">
        <v>165</v>
      </c>
      <c r="C3173" s="378" t="s">
        <v>26</v>
      </c>
      <c r="D3173" s="378" t="s">
        <v>26</v>
      </c>
      <c r="E3173" s="378" t="s">
        <v>26</v>
      </c>
      <c r="F3173" s="378" t="s">
        <v>26</v>
      </c>
      <c r="G3173" s="378" t="s">
        <v>26</v>
      </c>
      <c r="H3173" s="379" t="s">
        <v>130</v>
      </c>
    </row>
    <row r="3174" spans="1:8" ht="31.5">
      <c r="A3174" s="384" t="s">
        <v>166</v>
      </c>
      <c r="B3174" s="385" t="s">
        <v>167</v>
      </c>
      <c r="C3174" s="386" t="s">
        <v>26</v>
      </c>
      <c r="D3174" s="386" t="s">
        <v>26</v>
      </c>
      <c r="E3174" s="386" t="s">
        <v>26</v>
      </c>
      <c r="F3174" s="386" t="s">
        <v>26</v>
      </c>
      <c r="G3174" s="386" t="s">
        <v>26</v>
      </c>
      <c r="H3174" s="387" t="s">
        <v>130</v>
      </c>
    </row>
    <row r="3175" spans="1:8" ht="15.75">
      <c r="A3175" s="388"/>
      <c r="B3175" s="389"/>
      <c r="C3175" s="390"/>
      <c r="D3175" s="390"/>
      <c r="E3175" s="390"/>
      <c r="F3175" s="390"/>
      <c r="G3175" s="390"/>
      <c r="H3175" s="98"/>
    </row>
    <row r="3176" spans="1:8" ht="18.75" customHeight="1">
      <c r="A3176" s="580" t="s">
        <v>168</v>
      </c>
      <c r="B3176" s="580"/>
      <c r="C3176" s="580"/>
      <c r="D3176" s="580"/>
      <c r="E3176" s="580"/>
      <c r="F3176" s="580"/>
      <c r="G3176" s="580"/>
      <c r="H3176" s="580"/>
    </row>
    <row r="3177" spans="1:8" ht="15.75">
      <c r="A3177" s="391"/>
      <c r="B3177" s="391"/>
      <c r="C3177" s="391"/>
      <c r="D3177" s="391"/>
      <c r="E3177" s="391"/>
      <c r="F3177" s="391"/>
      <c r="G3177" s="391"/>
      <c r="H3177" s="391"/>
    </row>
    <row r="3178" spans="1:8" ht="15.75">
      <c r="A3178" s="391"/>
      <c r="B3178" s="391"/>
      <c r="C3178" s="391"/>
      <c r="D3178" s="391"/>
      <c r="E3178" s="391"/>
      <c r="F3178" s="391"/>
      <c r="G3178" s="391"/>
      <c r="H3178" s="391"/>
    </row>
    <row r="3179" ht="15.75">
      <c r="H3179" s="6" t="s">
        <v>113</v>
      </c>
    </row>
    <row r="3180" ht="15.75">
      <c r="H3180" s="6" t="s">
        <v>114</v>
      </c>
    </row>
    <row r="3181" ht="15.75">
      <c r="H3181" s="6" t="s">
        <v>115</v>
      </c>
    </row>
    <row r="3182" ht="15.75">
      <c r="H3182" s="6"/>
    </row>
    <row r="3183" spans="1:8" ht="18.75" customHeight="1">
      <c r="A3183" s="622" t="s">
        <v>116</v>
      </c>
      <c r="B3183" s="622"/>
      <c r="C3183" s="622"/>
      <c r="D3183" s="622"/>
      <c r="E3183" s="622"/>
      <c r="F3183" s="622"/>
      <c r="G3183" s="622"/>
      <c r="H3183" s="622"/>
    </row>
    <row r="3184" spans="1:8" ht="18.75" customHeight="1">
      <c r="A3184" s="622" t="s">
        <v>117</v>
      </c>
      <c r="B3184" s="622"/>
      <c r="C3184" s="622"/>
      <c r="D3184" s="622"/>
      <c r="E3184" s="622"/>
      <c r="F3184" s="622"/>
      <c r="G3184" s="622"/>
      <c r="H3184" s="622"/>
    </row>
    <row r="3185" ht="15.75">
      <c r="H3185" s="6" t="s">
        <v>562</v>
      </c>
    </row>
    <row r="3186" ht="15.75">
      <c r="H3186" s="6" t="s">
        <v>769</v>
      </c>
    </row>
    <row r="3187" ht="15.75">
      <c r="H3187" s="6" t="s">
        <v>770</v>
      </c>
    </row>
    <row r="3188" ht="15.75">
      <c r="H3188" s="361" t="str">
        <f>H11</f>
        <v>                         Добровольский К.А.</v>
      </c>
    </row>
    <row r="3189" ht="15.75">
      <c r="H3189" s="6" t="s">
        <v>772</v>
      </c>
    </row>
    <row r="3190" ht="15.75">
      <c r="H3190" s="6" t="s">
        <v>567</v>
      </c>
    </row>
    <row r="3191" ht="15.75">
      <c r="A3191" s="362"/>
    </row>
    <row r="3192" ht="15.75">
      <c r="A3192" s="343" t="s">
        <v>331</v>
      </c>
    </row>
    <row r="3193" spans="1:8" ht="18.75" customHeight="1">
      <c r="A3193" s="623" t="s">
        <v>120</v>
      </c>
      <c r="B3193" s="623"/>
      <c r="C3193" s="623"/>
      <c r="D3193" s="623"/>
      <c r="E3193" s="623"/>
      <c r="F3193" s="623"/>
      <c r="G3193" s="623"/>
      <c r="H3193" s="623"/>
    </row>
    <row r="3194" spans="1:8" ht="15.75">
      <c r="A3194" s="364"/>
      <c r="B3194" s="364"/>
      <c r="C3194" s="366"/>
      <c r="D3194" s="366"/>
      <c r="E3194" s="366"/>
      <c r="F3194" s="366"/>
      <c r="G3194" s="366"/>
      <c r="H3194" s="366"/>
    </row>
    <row r="3195" spans="1:8" ht="16.5" customHeight="1">
      <c r="A3195" s="581" t="s">
        <v>121</v>
      </c>
      <c r="B3195" s="559" t="s">
        <v>122</v>
      </c>
      <c r="C3195" s="560" t="s">
        <v>123</v>
      </c>
      <c r="D3195" s="560"/>
      <c r="E3195" s="560"/>
      <c r="F3195" s="560"/>
      <c r="G3195" s="561" t="s">
        <v>124</v>
      </c>
      <c r="H3195" s="581" t="s">
        <v>125</v>
      </c>
    </row>
    <row r="3196" spans="1:8" ht="15.75">
      <c r="A3196" s="581"/>
      <c r="B3196" s="559"/>
      <c r="C3196" s="560"/>
      <c r="D3196" s="560"/>
      <c r="E3196" s="560"/>
      <c r="F3196" s="560"/>
      <c r="G3196" s="561"/>
      <c r="H3196" s="581"/>
    </row>
    <row r="3197" spans="1:8" ht="31.5">
      <c r="A3197" s="581"/>
      <c r="B3197" s="559"/>
      <c r="C3197" s="369" t="s">
        <v>126</v>
      </c>
      <c r="D3197" s="369" t="s">
        <v>127</v>
      </c>
      <c r="E3197" s="370" t="s">
        <v>126</v>
      </c>
      <c r="F3197" s="371" t="s">
        <v>127</v>
      </c>
      <c r="G3197" s="561"/>
      <c r="H3197" s="581"/>
    </row>
    <row r="3198" spans="1:8" ht="15.75">
      <c r="A3198" s="367">
        <v>1</v>
      </c>
      <c r="B3198" s="367">
        <v>2</v>
      </c>
      <c r="C3198" s="372">
        <v>3</v>
      </c>
      <c r="D3198" s="372">
        <v>4</v>
      </c>
      <c r="E3198" s="373"/>
      <c r="F3198" s="374"/>
      <c r="G3198" s="368">
        <v>5</v>
      </c>
      <c r="H3198" s="367">
        <v>6</v>
      </c>
    </row>
    <row r="3199" spans="1:8" ht="18.75" customHeight="1">
      <c r="A3199" s="375">
        <v>1</v>
      </c>
      <c r="B3199" s="582" t="s">
        <v>128</v>
      </c>
      <c r="C3199" s="582"/>
      <c r="D3199" s="582"/>
      <c r="E3199" s="582"/>
      <c r="F3199" s="582"/>
      <c r="G3199" s="582"/>
      <c r="H3199" s="582"/>
    </row>
    <row r="3200" spans="1:8" ht="15.75">
      <c r="A3200" s="376" t="s">
        <v>594</v>
      </c>
      <c r="B3200" s="377" t="s">
        <v>129</v>
      </c>
      <c r="C3200" s="378" t="s">
        <v>26</v>
      </c>
      <c r="D3200" s="378" t="s">
        <v>26</v>
      </c>
      <c r="E3200" s="378" t="s">
        <v>26</v>
      </c>
      <c r="F3200" s="378" t="s">
        <v>26</v>
      </c>
      <c r="G3200" s="378" t="s">
        <v>26</v>
      </c>
      <c r="H3200" s="379" t="s">
        <v>130</v>
      </c>
    </row>
    <row r="3201" spans="1:8" ht="15.75">
      <c r="A3201" s="376" t="s">
        <v>735</v>
      </c>
      <c r="B3201" s="377" t="s">
        <v>131</v>
      </c>
      <c r="C3201" s="378" t="s">
        <v>26</v>
      </c>
      <c r="D3201" s="378" t="s">
        <v>26</v>
      </c>
      <c r="E3201" s="378" t="s">
        <v>26</v>
      </c>
      <c r="F3201" s="378" t="s">
        <v>26</v>
      </c>
      <c r="G3201" s="378" t="s">
        <v>26</v>
      </c>
      <c r="H3201" s="379" t="s">
        <v>130</v>
      </c>
    </row>
    <row r="3202" spans="1:8" ht="31.5">
      <c r="A3202" s="376" t="s">
        <v>737</v>
      </c>
      <c r="B3202" s="381" t="s">
        <v>132</v>
      </c>
      <c r="C3202" s="566" t="s">
        <v>101</v>
      </c>
      <c r="D3202" s="566" t="s">
        <v>102</v>
      </c>
      <c r="E3202" s="378" t="s">
        <v>26</v>
      </c>
      <c r="F3202" s="378" t="s">
        <v>26</v>
      </c>
      <c r="G3202" s="378" t="s">
        <v>26</v>
      </c>
      <c r="H3202" s="379" t="s">
        <v>130</v>
      </c>
    </row>
    <row r="3203" spans="1:8" ht="47.25">
      <c r="A3203" s="376" t="s">
        <v>739</v>
      </c>
      <c r="B3203" s="381" t="s">
        <v>133</v>
      </c>
      <c r="C3203" s="566" t="s">
        <v>103</v>
      </c>
      <c r="D3203" s="566" t="s">
        <v>104</v>
      </c>
      <c r="E3203" s="378" t="s">
        <v>26</v>
      </c>
      <c r="F3203" s="378" t="s">
        <v>26</v>
      </c>
      <c r="G3203" s="378" t="s">
        <v>26</v>
      </c>
      <c r="H3203" s="379" t="s">
        <v>130</v>
      </c>
    </row>
    <row r="3204" spans="1:8" ht="15.75">
      <c r="A3204" s="376" t="s">
        <v>852</v>
      </c>
      <c r="B3204" s="382" t="s">
        <v>134</v>
      </c>
      <c r="C3204" s="566" t="s">
        <v>105</v>
      </c>
      <c r="D3204" s="566" t="s">
        <v>106</v>
      </c>
      <c r="E3204" s="378" t="s">
        <v>26</v>
      </c>
      <c r="F3204" s="378" t="s">
        <v>26</v>
      </c>
      <c r="G3204" s="378" t="s">
        <v>26</v>
      </c>
      <c r="H3204" s="379" t="s">
        <v>130</v>
      </c>
    </row>
    <row r="3205" spans="1:8" ht="15.75">
      <c r="A3205" s="376" t="s">
        <v>853</v>
      </c>
      <c r="B3205" s="382" t="s">
        <v>135</v>
      </c>
      <c r="C3205" s="566" t="s">
        <v>101</v>
      </c>
      <c r="D3205" s="566" t="s">
        <v>107</v>
      </c>
      <c r="E3205" s="378" t="s">
        <v>26</v>
      </c>
      <c r="F3205" s="378" t="s">
        <v>26</v>
      </c>
      <c r="G3205" s="378" t="s">
        <v>26</v>
      </c>
      <c r="H3205" s="379" t="s">
        <v>130</v>
      </c>
    </row>
    <row r="3206" spans="1:8" ht="18.75" customHeight="1">
      <c r="A3206" s="376">
        <v>2</v>
      </c>
      <c r="B3206" s="579" t="s">
        <v>136</v>
      </c>
      <c r="C3206" s="579"/>
      <c r="D3206" s="579"/>
      <c r="E3206" s="579"/>
      <c r="F3206" s="579"/>
      <c r="G3206" s="579"/>
      <c r="H3206" s="579"/>
    </row>
    <row r="3207" spans="1:8" ht="31.5">
      <c r="A3207" s="376" t="s">
        <v>743</v>
      </c>
      <c r="B3207" s="381" t="s">
        <v>137</v>
      </c>
      <c r="C3207" s="378" t="s">
        <v>315</v>
      </c>
      <c r="D3207" s="378" t="s">
        <v>286</v>
      </c>
      <c r="E3207" s="378" t="s">
        <v>26</v>
      </c>
      <c r="F3207" s="378" t="s">
        <v>26</v>
      </c>
      <c r="G3207" s="383">
        <v>0</v>
      </c>
      <c r="H3207" s="379"/>
    </row>
    <row r="3208" spans="1:8" ht="47.25">
      <c r="A3208" s="376" t="s">
        <v>746</v>
      </c>
      <c r="B3208" s="381" t="s">
        <v>140</v>
      </c>
      <c r="C3208" s="378" t="s">
        <v>26</v>
      </c>
      <c r="D3208" s="378" t="s">
        <v>26</v>
      </c>
      <c r="E3208" s="378" t="s">
        <v>26</v>
      </c>
      <c r="F3208" s="378" t="s">
        <v>26</v>
      </c>
      <c r="G3208" s="378" t="s">
        <v>26</v>
      </c>
      <c r="H3208" s="379" t="s">
        <v>130</v>
      </c>
    </row>
    <row r="3209" spans="1:8" ht="31.5">
      <c r="A3209" s="376" t="s">
        <v>141</v>
      </c>
      <c r="B3209" s="381" t="s">
        <v>142</v>
      </c>
      <c r="C3209" s="378" t="s">
        <v>26</v>
      </c>
      <c r="D3209" s="378" t="s">
        <v>26</v>
      </c>
      <c r="E3209" s="378" t="s">
        <v>26</v>
      </c>
      <c r="F3209" s="378" t="s">
        <v>26</v>
      </c>
      <c r="G3209" s="378" t="s">
        <v>26</v>
      </c>
      <c r="H3209" s="379" t="s">
        <v>130</v>
      </c>
    </row>
    <row r="3210" spans="1:8" ht="18.75" customHeight="1">
      <c r="A3210" s="376">
        <v>3</v>
      </c>
      <c r="B3210" s="579" t="s">
        <v>143</v>
      </c>
      <c r="C3210" s="579"/>
      <c r="D3210" s="579"/>
      <c r="E3210" s="579"/>
      <c r="F3210" s="579"/>
      <c r="G3210" s="579"/>
      <c r="H3210" s="579"/>
    </row>
    <row r="3211" spans="1:8" ht="31.5">
      <c r="A3211" s="376" t="s">
        <v>756</v>
      </c>
      <c r="B3211" s="382" t="s">
        <v>144</v>
      </c>
      <c r="C3211" s="378" t="s">
        <v>26</v>
      </c>
      <c r="D3211" s="378" t="s">
        <v>26</v>
      </c>
      <c r="E3211" s="378" t="s">
        <v>26</v>
      </c>
      <c r="F3211" s="378" t="s">
        <v>26</v>
      </c>
      <c r="G3211" s="378" t="s">
        <v>26</v>
      </c>
      <c r="H3211" s="379" t="s">
        <v>130</v>
      </c>
    </row>
    <row r="3212" spans="1:8" ht="15.75">
      <c r="A3212" s="376" t="s">
        <v>757</v>
      </c>
      <c r="B3212" s="382" t="s">
        <v>145</v>
      </c>
      <c r="C3212" s="378" t="s">
        <v>315</v>
      </c>
      <c r="D3212" s="378" t="s">
        <v>308</v>
      </c>
      <c r="E3212" s="378" t="s">
        <v>26</v>
      </c>
      <c r="F3212" s="378" t="s">
        <v>26</v>
      </c>
      <c r="G3212" s="383">
        <v>0</v>
      </c>
      <c r="H3212" s="379"/>
    </row>
    <row r="3213" spans="1:8" ht="15.75">
      <c r="A3213" s="376" t="s">
        <v>147</v>
      </c>
      <c r="B3213" s="382" t="s">
        <v>148</v>
      </c>
      <c r="C3213" s="378" t="s">
        <v>300</v>
      </c>
      <c r="D3213" s="378" t="s">
        <v>316</v>
      </c>
      <c r="E3213" s="378" t="s">
        <v>26</v>
      </c>
      <c r="F3213" s="378" t="s">
        <v>26</v>
      </c>
      <c r="G3213" s="383">
        <v>0</v>
      </c>
      <c r="H3213" s="379"/>
    </row>
    <row r="3214" spans="1:8" ht="15.75">
      <c r="A3214" s="376" t="s">
        <v>151</v>
      </c>
      <c r="B3214" s="382" t="s">
        <v>152</v>
      </c>
      <c r="C3214" s="378" t="s">
        <v>317</v>
      </c>
      <c r="D3214" s="378" t="s">
        <v>318</v>
      </c>
      <c r="E3214" s="378" t="s">
        <v>26</v>
      </c>
      <c r="F3214" s="378" t="s">
        <v>26</v>
      </c>
      <c r="G3214" s="383">
        <v>0</v>
      </c>
      <c r="H3214" s="379"/>
    </row>
    <row r="3215" spans="1:8" ht="15.75">
      <c r="A3215" s="376" t="s">
        <v>155</v>
      </c>
      <c r="B3215" s="382" t="s">
        <v>156</v>
      </c>
      <c r="C3215" s="378" t="s">
        <v>284</v>
      </c>
      <c r="D3215" s="378" t="s">
        <v>319</v>
      </c>
      <c r="E3215" s="378" t="s">
        <v>26</v>
      </c>
      <c r="F3215" s="378" t="s">
        <v>26</v>
      </c>
      <c r="G3215" s="383">
        <v>0</v>
      </c>
      <c r="H3215" s="379"/>
    </row>
    <row r="3216" spans="1:8" ht="18.75" customHeight="1">
      <c r="A3216" s="376">
        <v>4</v>
      </c>
      <c r="B3216" s="579" t="s">
        <v>159</v>
      </c>
      <c r="C3216" s="579"/>
      <c r="D3216" s="579"/>
      <c r="E3216" s="579"/>
      <c r="F3216" s="579"/>
      <c r="G3216" s="579"/>
      <c r="H3216" s="579"/>
    </row>
    <row r="3217" spans="1:8" ht="31.5">
      <c r="A3217" s="376" t="s">
        <v>160</v>
      </c>
      <c r="B3217" s="381" t="s">
        <v>161</v>
      </c>
      <c r="C3217" s="378" t="s">
        <v>26</v>
      </c>
      <c r="D3217" s="378" t="s">
        <v>26</v>
      </c>
      <c r="E3217" s="378" t="s">
        <v>26</v>
      </c>
      <c r="F3217" s="378" t="s">
        <v>26</v>
      </c>
      <c r="G3217" s="378" t="s">
        <v>26</v>
      </c>
      <c r="H3217" s="379" t="s">
        <v>130</v>
      </c>
    </row>
    <row r="3218" spans="1:8" ht="47.25">
      <c r="A3218" s="376" t="s">
        <v>162</v>
      </c>
      <c r="B3218" s="381" t="s">
        <v>163</v>
      </c>
      <c r="C3218" s="378" t="s">
        <v>26</v>
      </c>
      <c r="D3218" s="378" t="s">
        <v>26</v>
      </c>
      <c r="E3218" s="378" t="s">
        <v>26</v>
      </c>
      <c r="F3218" s="378" t="s">
        <v>26</v>
      </c>
      <c r="G3218" s="378" t="s">
        <v>26</v>
      </c>
      <c r="H3218" s="379" t="s">
        <v>130</v>
      </c>
    </row>
    <row r="3219" spans="1:8" ht="31.5">
      <c r="A3219" s="376" t="s">
        <v>164</v>
      </c>
      <c r="B3219" s="382" t="s">
        <v>165</v>
      </c>
      <c r="C3219" s="378" t="s">
        <v>26</v>
      </c>
      <c r="D3219" s="378" t="s">
        <v>26</v>
      </c>
      <c r="E3219" s="378" t="s">
        <v>26</v>
      </c>
      <c r="F3219" s="378" t="s">
        <v>26</v>
      </c>
      <c r="G3219" s="378" t="s">
        <v>26</v>
      </c>
      <c r="H3219" s="379" t="s">
        <v>130</v>
      </c>
    </row>
    <row r="3220" spans="1:8" ht="31.5">
      <c r="A3220" s="384" t="s">
        <v>166</v>
      </c>
      <c r="B3220" s="385" t="s">
        <v>167</v>
      </c>
      <c r="C3220" s="386" t="s">
        <v>26</v>
      </c>
      <c r="D3220" s="386" t="s">
        <v>26</v>
      </c>
      <c r="E3220" s="386" t="s">
        <v>26</v>
      </c>
      <c r="F3220" s="386" t="s">
        <v>26</v>
      </c>
      <c r="G3220" s="386" t="s">
        <v>26</v>
      </c>
      <c r="H3220" s="387" t="s">
        <v>130</v>
      </c>
    </row>
    <row r="3221" spans="1:8" ht="15.75">
      <c r="A3221" s="388"/>
      <c r="B3221" s="389"/>
      <c r="C3221" s="390"/>
      <c r="D3221" s="390"/>
      <c r="E3221" s="390"/>
      <c r="F3221" s="390"/>
      <c r="G3221" s="390"/>
      <c r="H3221" s="98"/>
    </row>
    <row r="3222" spans="1:8" ht="18.75" customHeight="1">
      <c r="A3222" s="580" t="s">
        <v>168</v>
      </c>
      <c r="B3222" s="580"/>
      <c r="C3222" s="580"/>
      <c r="D3222" s="580"/>
      <c r="E3222" s="580"/>
      <c r="F3222" s="580"/>
      <c r="G3222" s="580"/>
      <c r="H3222" s="580"/>
    </row>
    <row r="3223" spans="1:8" ht="15.75">
      <c r="A3223" s="391"/>
      <c r="B3223" s="391"/>
      <c r="C3223" s="391"/>
      <c r="D3223" s="391"/>
      <c r="E3223" s="391"/>
      <c r="F3223" s="391"/>
      <c r="G3223" s="391"/>
      <c r="H3223" s="391"/>
    </row>
    <row r="3224" spans="1:8" ht="15.75">
      <c r="A3224" s="391"/>
      <c r="B3224" s="391"/>
      <c r="C3224" s="391"/>
      <c r="D3224" s="391"/>
      <c r="E3224" s="391"/>
      <c r="F3224" s="391"/>
      <c r="G3224" s="391"/>
      <c r="H3224" s="391"/>
    </row>
    <row r="3225" ht="15.75">
      <c r="H3225" s="6" t="s">
        <v>113</v>
      </c>
    </row>
    <row r="3226" ht="15.75">
      <c r="H3226" s="6" t="s">
        <v>114</v>
      </c>
    </row>
    <row r="3227" ht="15.75">
      <c r="H3227" s="6" t="s">
        <v>115</v>
      </c>
    </row>
    <row r="3228" ht="15.75">
      <c r="H3228" s="6"/>
    </row>
    <row r="3229" spans="1:8" ht="18.75" customHeight="1">
      <c r="A3229" s="622" t="s">
        <v>116</v>
      </c>
      <c r="B3229" s="622"/>
      <c r="C3229" s="622"/>
      <c r="D3229" s="622"/>
      <c r="E3229" s="622"/>
      <c r="F3229" s="622"/>
      <c r="G3229" s="622"/>
      <c r="H3229" s="622"/>
    </row>
    <row r="3230" spans="1:8" ht="18.75" customHeight="1">
      <c r="A3230" s="622" t="s">
        <v>117</v>
      </c>
      <c r="B3230" s="622"/>
      <c r="C3230" s="622"/>
      <c r="D3230" s="622"/>
      <c r="E3230" s="622"/>
      <c r="F3230" s="622"/>
      <c r="G3230" s="622"/>
      <c r="H3230" s="622"/>
    </row>
    <row r="3231" ht="15.75">
      <c r="H3231" s="6" t="s">
        <v>562</v>
      </c>
    </row>
    <row r="3232" ht="15.75">
      <c r="H3232" s="6" t="s">
        <v>769</v>
      </c>
    </row>
    <row r="3233" ht="15.75">
      <c r="H3233" s="6" t="s">
        <v>770</v>
      </c>
    </row>
    <row r="3234" ht="15.75">
      <c r="H3234" s="361" t="str">
        <f>H11</f>
        <v>                         Добровольский К.А.</v>
      </c>
    </row>
    <row r="3235" ht="15.75">
      <c r="H3235" s="6" t="s">
        <v>772</v>
      </c>
    </row>
    <row r="3236" ht="15.75">
      <c r="H3236" s="6" t="s">
        <v>567</v>
      </c>
    </row>
    <row r="3237" ht="15.75">
      <c r="A3237" s="362"/>
    </row>
    <row r="3238" ht="15.75">
      <c r="A3238" s="343" t="s">
        <v>332</v>
      </c>
    </row>
    <row r="3239" spans="1:8" ht="18.75" customHeight="1">
      <c r="A3239" s="623" t="s">
        <v>120</v>
      </c>
      <c r="B3239" s="623"/>
      <c r="C3239" s="623"/>
      <c r="D3239" s="623"/>
      <c r="E3239" s="623"/>
      <c r="F3239" s="623"/>
      <c r="G3239" s="623"/>
      <c r="H3239" s="623"/>
    </row>
    <row r="3240" spans="1:8" ht="15.75">
      <c r="A3240" s="364"/>
      <c r="B3240" s="364"/>
      <c r="C3240" s="366"/>
      <c r="D3240" s="366"/>
      <c r="E3240" s="366"/>
      <c r="F3240" s="366"/>
      <c r="G3240" s="366"/>
      <c r="H3240" s="366"/>
    </row>
    <row r="3241" spans="1:8" ht="16.5" customHeight="1">
      <c r="A3241" s="581" t="s">
        <v>121</v>
      </c>
      <c r="B3241" s="559" t="s">
        <v>122</v>
      </c>
      <c r="C3241" s="560" t="s">
        <v>123</v>
      </c>
      <c r="D3241" s="560"/>
      <c r="E3241" s="560"/>
      <c r="F3241" s="560"/>
      <c r="G3241" s="561" t="s">
        <v>124</v>
      </c>
      <c r="H3241" s="581" t="s">
        <v>125</v>
      </c>
    </row>
    <row r="3242" spans="1:8" ht="15.75">
      <c r="A3242" s="581"/>
      <c r="B3242" s="559"/>
      <c r="C3242" s="560"/>
      <c r="D3242" s="560"/>
      <c r="E3242" s="560"/>
      <c r="F3242" s="560"/>
      <c r="G3242" s="561"/>
      <c r="H3242" s="581"/>
    </row>
    <row r="3243" spans="1:8" ht="31.5">
      <c r="A3243" s="581"/>
      <c r="B3243" s="559"/>
      <c r="C3243" s="369" t="s">
        <v>126</v>
      </c>
      <c r="D3243" s="369" t="s">
        <v>127</v>
      </c>
      <c r="E3243" s="370" t="s">
        <v>126</v>
      </c>
      <c r="F3243" s="371" t="s">
        <v>127</v>
      </c>
      <c r="G3243" s="561"/>
      <c r="H3243" s="581"/>
    </row>
    <row r="3244" spans="1:8" ht="15.75">
      <c r="A3244" s="367">
        <v>1</v>
      </c>
      <c r="B3244" s="367">
        <v>2</v>
      </c>
      <c r="C3244" s="372">
        <v>3</v>
      </c>
      <c r="D3244" s="372">
        <v>4</v>
      </c>
      <c r="E3244" s="373"/>
      <c r="F3244" s="374"/>
      <c r="G3244" s="368">
        <v>5</v>
      </c>
      <c r="H3244" s="367">
        <v>6</v>
      </c>
    </row>
    <row r="3245" spans="1:8" ht="18.75" customHeight="1">
      <c r="A3245" s="375">
        <v>1</v>
      </c>
      <c r="B3245" s="582" t="s">
        <v>128</v>
      </c>
      <c r="C3245" s="582"/>
      <c r="D3245" s="582"/>
      <c r="E3245" s="582"/>
      <c r="F3245" s="582"/>
      <c r="G3245" s="582"/>
      <c r="H3245" s="582"/>
    </row>
    <row r="3246" spans="1:8" ht="15.75">
      <c r="A3246" s="376" t="s">
        <v>594</v>
      </c>
      <c r="B3246" s="377" t="s">
        <v>129</v>
      </c>
      <c r="C3246" s="378" t="s">
        <v>26</v>
      </c>
      <c r="D3246" s="378" t="s">
        <v>26</v>
      </c>
      <c r="E3246" s="378" t="s">
        <v>26</v>
      </c>
      <c r="F3246" s="378" t="s">
        <v>26</v>
      </c>
      <c r="G3246" s="378" t="s">
        <v>26</v>
      </c>
      <c r="H3246" s="379" t="s">
        <v>130</v>
      </c>
    </row>
    <row r="3247" spans="1:8" ht="15.75">
      <c r="A3247" s="376" t="s">
        <v>735</v>
      </c>
      <c r="B3247" s="377" t="s">
        <v>131</v>
      </c>
      <c r="C3247" s="378" t="s">
        <v>26</v>
      </c>
      <c r="D3247" s="378" t="s">
        <v>26</v>
      </c>
      <c r="E3247" s="378" t="s">
        <v>26</v>
      </c>
      <c r="F3247" s="378" t="s">
        <v>26</v>
      </c>
      <c r="G3247" s="378" t="s">
        <v>26</v>
      </c>
      <c r="H3247" s="379" t="s">
        <v>130</v>
      </c>
    </row>
    <row r="3248" spans="1:8" ht="31.5">
      <c r="A3248" s="376" t="s">
        <v>737</v>
      </c>
      <c r="B3248" s="381" t="s">
        <v>132</v>
      </c>
      <c r="C3248" s="566" t="s">
        <v>101</v>
      </c>
      <c r="D3248" s="566" t="s">
        <v>102</v>
      </c>
      <c r="E3248" s="378" t="s">
        <v>26</v>
      </c>
      <c r="F3248" s="378" t="s">
        <v>26</v>
      </c>
      <c r="G3248" s="378" t="s">
        <v>26</v>
      </c>
      <c r="H3248" s="379" t="s">
        <v>130</v>
      </c>
    </row>
    <row r="3249" spans="1:8" ht="47.25">
      <c r="A3249" s="376" t="s">
        <v>739</v>
      </c>
      <c r="B3249" s="381" t="s">
        <v>133</v>
      </c>
      <c r="C3249" s="566" t="s">
        <v>103</v>
      </c>
      <c r="D3249" s="566" t="s">
        <v>104</v>
      </c>
      <c r="E3249" s="378" t="s">
        <v>26</v>
      </c>
      <c r="F3249" s="378" t="s">
        <v>26</v>
      </c>
      <c r="G3249" s="378" t="s">
        <v>26</v>
      </c>
      <c r="H3249" s="379" t="s">
        <v>130</v>
      </c>
    </row>
    <row r="3250" spans="1:8" ht="15.75">
      <c r="A3250" s="376" t="s">
        <v>852</v>
      </c>
      <c r="B3250" s="382" t="s">
        <v>134</v>
      </c>
      <c r="C3250" s="566" t="s">
        <v>105</v>
      </c>
      <c r="D3250" s="566" t="s">
        <v>106</v>
      </c>
      <c r="E3250" s="378" t="s">
        <v>26</v>
      </c>
      <c r="F3250" s="378" t="s">
        <v>26</v>
      </c>
      <c r="G3250" s="378" t="s">
        <v>26</v>
      </c>
      <c r="H3250" s="379" t="s">
        <v>130</v>
      </c>
    </row>
    <row r="3251" spans="1:8" ht="15.75">
      <c r="A3251" s="376" t="s">
        <v>853</v>
      </c>
      <c r="B3251" s="382" t="s">
        <v>135</v>
      </c>
      <c r="C3251" s="566" t="s">
        <v>101</v>
      </c>
      <c r="D3251" s="566" t="s">
        <v>107</v>
      </c>
      <c r="E3251" s="378" t="s">
        <v>26</v>
      </c>
      <c r="F3251" s="378" t="s">
        <v>26</v>
      </c>
      <c r="G3251" s="378" t="s">
        <v>26</v>
      </c>
      <c r="H3251" s="379" t="s">
        <v>130</v>
      </c>
    </row>
    <row r="3252" spans="1:8" ht="18.75" customHeight="1">
      <c r="A3252" s="376">
        <v>2</v>
      </c>
      <c r="B3252" s="579" t="s">
        <v>136</v>
      </c>
      <c r="C3252" s="579"/>
      <c r="D3252" s="579"/>
      <c r="E3252" s="579"/>
      <c r="F3252" s="579"/>
      <c r="G3252" s="579"/>
      <c r="H3252" s="579"/>
    </row>
    <row r="3253" spans="1:8" ht="31.5">
      <c r="A3253" s="376" t="s">
        <v>743</v>
      </c>
      <c r="B3253" s="381" t="s">
        <v>137</v>
      </c>
      <c r="C3253" s="378" t="s">
        <v>315</v>
      </c>
      <c r="D3253" s="378" t="s">
        <v>286</v>
      </c>
      <c r="E3253" s="378" t="s">
        <v>26</v>
      </c>
      <c r="F3253" s="378" t="s">
        <v>26</v>
      </c>
      <c r="G3253" s="383">
        <v>0</v>
      </c>
      <c r="H3253" s="379"/>
    </row>
    <row r="3254" spans="1:8" ht="47.25">
      <c r="A3254" s="376" t="s">
        <v>746</v>
      </c>
      <c r="B3254" s="381" t="s">
        <v>140</v>
      </c>
      <c r="C3254" s="378" t="s">
        <v>26</v>
      </c>
      <c r="D3254" s="378" t="s">
        <v>26</v>
      </c>
      <c r="E3254" s="378" t="s">
        <v>26</v>
      </c>
      <c r="F3254" s="378" t="s">
        <v>26</v>
      </c>
      <c r="G3254" s="378" t="s">
        <v>26</v>
      </c>
      <c r="H3254" s="379" t="s">
        <v>130</v>
      </c>
    </row>
    <row r="3255" spans="1:8" ht="31.5">
      <c r="A3255" s="376" t="s">
        <v>141</v>
      </c>
      <c r="B3255" s="381" t="s">
        <v>142</v>
      </c>
      <c r="C3255" s="378" t="s">
        <v>26</v>
      </c>
      <c r="D3255" s="378" t="s">
        <v>26</v>
      </c>
      <c r="E3255" s="378" t="s">
        <v>26</v>
      </c>
      <c r="F3255" s="378" t="s">
        <v>26</v>
      </c>
      <c r="G3255" s="378" t="s">
        <v>26</v>
      </c>
      <c r="H3255" s="379" t="s">
        <v>130</v>
      </c>
    </row>
    <row r="3256" spans="1:8" ht="18.75" customHeight="1">
      <c r="A3256" s="376">
        <v>3</v>
      </c>
      <c r="B3256" s="579" t="s">
        <v>143</v>
      </c>
      <c r="C3256" s="579"/>
      <c r="D3256" s="579"/>
      <c r="E3256" s="579"/>
      <c r="F3256" s="579"/>
      <c r="G3256" s="579"/>
      <c r="H3256" s="579"/>
    </row>
    <row r="3257" spans="1:8" ht="31.5">
      <c r="A3257" s="376" t="s">
        <v>756</v>
      </c>
      <c r="B3257" s="382" t="s">
        <v>144</v>
      </c>
      <c r="C3257" s="378" t="s">
        <v>26</v>
      </c>
      <c r="D3257" s="378" t="s">
        <v>26</v>
      </c>
      <c r="E3257" s="378" t="s">
        <v>26</v>
      </c>
      <c r="F3257" s="378" t="s">
        <v>26</v>
      </c>
      <c r="G3257" s="378" t="s">
        <v>26</v>
      </c>
      <c r="H3257" s="379" t="s">
        <v>130</v>
      </c>
    </row>
    <row r="3258" spans="1:8" ht="15.75">
      <c r="A3258" s="376" t="s">
        <v>757</v>
      </c>
      <c r="B3258" s="382" t="s">
        <v>145</v>
      </c>
      <c r="C3258" s="378" t="s">
        <v>315</v>
      </c>
      <c r="D3258" s="378" t="s">
        <v>308</v>
      </c>
      <c r="E3258" s="378" t="s">
        <v>26</v>
      </c>
      <c r="F3258" s="378" t="s">
        <v>26</v>
      </c>
      <c r="G3258" s="383">
        <v>0</v>
      </c>
      <c r="H3258" s="379"/>
    </row>
    <row r="3259" spans="1:8" ht="15.75">
      <c r="A3259" s="376" t="s">
        <v>147</v>
      </c>
      <c r="B3259" s="382" t="s">
        <v>148</v>
      </c>
      <c r="C3259" s="378" t="s">
        <v>300</v>
      </c>
      <c r="D3259" s="378" t="s">
        <v>316</v>
      </c>
      <c r="E3259" s="378" t="s">
        <v>26</v>
      </c>
      <c r="F3259" s="378" t="s">
        <v>26</v>
      </c>
      <c r="G3259" s="383">
        <v>0</v>
      </c>
      <c r="H3259" s="379"/>
    </row>
    <row r="3260" spans="1:8" ht="15.75">
      <c r="A3260" s="376" t="s">
        <v>151</v>
      </c>
      <c r="B3260" s="382" t="s">
        <v>152</v>
      </c>
      <c r="C3260" s="378" t="s">
        <v>317</v>
      </c>
      <c r="D3260" s="378" t="s">
        <v>318</v>
      </c>
      <c r="E3260" s="378" t="s">
        <v>26</v>
      </c>
      <c r="F3260" s="378" t="s">
        <v>26</v>
      </c>
      <c r="G3260" s="383">
        <v>0</v>
      </c>
      <c r="H3260" s="379"/>
    </row>
    <row r="3261" spans="1:8" ht="15.75">
      <c r="A3261" s="376" t="s">
        <v>155</v>
      </c>
      <c r="B3261" s="382" t="s">
        <v>156</v>
      </c>
      <c r="C3261" s="378" t="s">
        <v>284</v>
      </c>
      <c r="D3261" s="378" t="s">
        <v>319</v>
      </c>
      <c r="E3261" s="378" t="s">
        <v>26</v>
      </c>
      <c r="F3261" s="378" t="s">
        <v>26</v>
      </c>
      <c r="G3261" s="383">
        <v>0</v>
      </c>
      <c r="H3261" s="379"/>
    </row>
    <row r="3262" spans="1:8" ht="18.75" customHeight="1">
      <c r="A3262" s="376">
        <v>4</v>
      </c>
      <c r="B3262" s="579" t="s">
        <v>159</v>
      </c>
      <c r="C3262" s="579"/>
      <c r="D3262" s="579"/>
      <c r="E3262" s="579"/>
      <c r="F3262" s="579"/>
      <c r="G3262" s="579"/>
      <c r="H3262" s="579"/>
    </row>
    <row r="3263" spans="1:8" ht="31.5">
      <c r="A3263" s="376" t="s">
        <v>160</v>
      </c>
      <c r="B3263" s="381" t="s">
        <v>161</v>
      </c>
      <c r="C3263" s="378" t="s">
        <v>26</v>
      </c>
      <c r="D3263" s="378" t="s">
        <v>26</v>
      </c>
      <c r="E3263" s="378" t="s">
        <v>26</v>
      </c>
      <c r="F3263" s="378" t="s">
        <v>26</v>
      </c>
      <c r="G3263" s="378" t="s">
        <v>26</v>
      </c>
      <c r="H3263" s="379" t="s">
        <v>130</v>
      </c>
    </row>
    <row r="3264" spans="1:8" ht="47.25">
      <c r="A3264" s="376" t="s">
        <v>162</v>
      </c>
      <c r="B3264" s="381" t="s">
        <v>163</v>
      </c>
      <c r="C3264" s="378" t="s">
        <v>26</v>
      </c>
      <c r="D3264" s="378" t="s">
        <v>26</v>
      </c>
      <c r="E3264" s="378" t="s">
        <v>26</v>
      </c>
      <c r="F3264" s="378" t="s">
        <v>26</v>
      </c>
      <c r="G3264" s="378" t="s">
        <v>26</v>
      </c>
      <c r="H3264" s="379" t="s">
        <v>130</v>
      </c>
    </row>
    <row r="3265" spans="1:8" ht="31.5">
      <c r="A3265" s="376" t="s">
        <v>164</v>
      </c>
      <c r="B3265" s="382" t="s">
        <v>165</v>
      </c>
      <c r="C3265" s="378" t="s">
        <v>26</v>
      </c>
      <c r="D3265" s="378" t="s">
        <v>26</v>
      </c>
      <c r="E3265" s="378" t="s">
        <v>26</v>
      </c>
      <c r="F3265" s="378" t="s">
        <v>26</v>
      </c>
      <c r="G3265" s="378" t="s">
        <v>26</v>
      </c>
      <c r="H3265" s="379" t="s">
        <v>130</v>
      </c>
    </row>
    <row r="3266" spans="1:8" ht="32.25" thickBot="1">
      <c r="A3266" s="384" t="s">
        <v>166</v>
      </c>
      <c r="B3266" s="385" t="s">
        <v>167</v>
      </c>
      <c r="C3266" s="386" t="s">
        <v>26</v>
      </c>
      <c r="D3266" s="386" t="s">
        <v>26</v>
      </c>
      <c r="E3266" s="386" t="s">
        <v>26</v>
      </c>
      <c r="F3266" s="386" t="s">
        <v>26</v>
      </c>
      <c r="G3266" s="386" t="s">
        <v>26</v>
      </c>
      <c r="H3266" s="387" t="s">
        <v>130</v>
      </c>
    </row>
    <row r="3267" spans="1:8" ht="15.75">
      <c r="A3267" s="388"/>
      <c r="B3267" s="389"/>
      <c r="C3267" s="390"/>
      <c r="D3267" s="390"/>
      <c r="E3267" s="390"/>
      <c r="F3267" s="390"/>
      <c r="G3267" s="390"/>
      <c r="H3267" s="98"/>
    </row>
    <row r="3268" spans="1:8" ht="18.75" customHeight="1">
      <c r="A3268" s="580" t="s">
        <v>168</v>
      </c>
      <c r="B3268" s="580"/>
      <c r="C3268" s="580"/>
      <c r="D3268" s="580"/>
      <c r="E3268" s="580"/>
      <c r="F3268" s="580"/>
      <c r="G3268" s="580"/>
      <c r="H3268" s="580"/>
    </row>
    <row r="3269" spans="1:8" ht="15.75">
      <c r="A3269" s="391"/>
      <c r="B3269" s="391"/>
      <c r="C3269" s="391"/>
      <c r="D3269" s="391"/>
      <c r="E3269" s="391"/>
      <c r="F3269" s="391"/>
      <c r="G3269" s="391"/>
      <c r="H3269" s="391"/>
    </row>
    <row r="3270" spans="1:8" ht="15.75">
      <c r="A3270" s="391"/>
      <c r="B3270" s="391"/>
      <c r="C3270" s="391"/>
      <c r="D3270" s="391"/>
      <c r="E3270" s="391"/>
      <c r="F3270" s="391"/>
      <c r="G3270" s="391"/>
      <c r="H3270" s="391"/>
    </row>
    <row r="3271" s="589" customFormat="1" ht="15.75">
      <c r="H3271" s="590" t="s">
        <v>113</v>
      </c>
    </row>
    <row r="3272" ht="15.75">
      <c r="H3272" s="6" t="s">
        <v>114</v>
      </c>
    </row>
    <row r="3273" ht="15.75">
      <c r="H3273" s="6" t="s">
        <v>115</v>
      </c>
    </row>
    <row r="3274" ht="15.75">
      <c r="H3274" s="6"/>
    </row>
    <row r="3275" spans="1:8" ht="18.75" customHeight="1">
      <c r="A3275" s="622" t="s">
        <v>116</v>
      </c>
      <c r="B3275" s="622"/>
      <c r="C3275" s="622"/>
      <c r="D3275" s="622"/>
      <c r="E3275" s="622"/>
      <c r="F3275" s="622"/>
      <c r="G3275" s="622"/>
      <c r="H3275" s="622"/>
    </row>
    <row r="3276" spans="1:8" ht="18.75" customHeight="1">
      <c r="A3276" s="622" t="s">
        <v>117</v>
      </c>
      <c r="B3276" s="622"/>
      <c r="C3276" s="622"/>
      <c r="D3276" s="622"/>
      <c r="E3276" s="622"/>
      <c r="F3276" s="622"/>
      <c r="G3276" s="622"/>
      <c r="H3276" s="622"/>
    </row>
    <row r="3277" ht="15.75">
      <c r="H3277" s="6" t="s">
        <v>562</v>
      </c>
    </row>
    <row r="3278" ht="15.75">
      <c r="H3278" s="6" t="s">
        <v>769</v>
      </c>
    </row>
    <row r="3279" ht="15.75">
      <c r="H3279" s="6" t="s">
        <v>770</v>
      </c>
    </row>
    <row r="3280" ht="15.75">
      <c r="H3280" s="361" t="s">
        <v>333</v>
      </c>
    </row>
    <row r="3281" ht="15.75">
      <c r="H3281" s="6" t="s">
        <v>772</v>
      </c>
    </row>
    <row r="3282" ht="15.75">
      <c r="H3282" s="6" t="s">
        <v>567</v>
      </c>
    </row>
    <row r="3283" ht="15.75">
      <c r="A3283" s="362"/>
    </row>
    <row r="3284" ht="15.75">
      <c r="A3284" s="343" t="s">
        <v>108</v>
      </c>
    </row>
    <row r="3285" spans="1:8" ht="18.75" customHeight="1">
      <c r="A3285" s="623" t="s">
        <v>120</v>
      </c>
      <c r="B3285" s="623"/>
      <c r="C3285" s="623"/>
      <c r="D3285" s="623"/>
      <c r="E3285" s="623"/>
      <c r="F3285" s="623"/>
      <c r="G3285" s="623"/>
      <c r="H3285" s="623"/>
    </row>
    <row r="3286" spans="1:8" ht="15.75">
      <c r="A3286" s="364"/>
      <c r="B3286" s="364"/>
      <c r="C3286" s="366"/>
      <c r="D3286" s="366"/>
      <c r="E3286" s="366"/>
      <c r="F3286" s="366"/>
      <c r="G3286" s="366"/>
      <c r="H3286" s="366"/>
    </row>
    <row r="3287" spans="1:8" ht="16.5" customHeight="1">
      <c r="A3287" s="581" t="s">
        <v>121</v>
      </c>
      <c r="B3287" s="559" t="s">
        <v>122</v>
      </c>
      <c r="C3287" s="560" t="s">
        <v>123</v>
      </c>
      <c r="D3287" s="560"/>
      <c r="E3287" s="560"/>
      <c r="F3287" s="560"/>
      <c r="G3287" s="561" t="s">
        <v>124</v>
      </c>
      <c r="H3287" s="581" t="s">
        <v>125</v>
      </c>
    </row>
    <row r="3288" spans="1:8" ht="15.75">
      <c r="A3288" s="581"/>
      <c r="B3288" s="559"/>
      <c r="C3288" s="560"/>
      <c r="D3288" s="560"/>
      <c r="E3288" s="560"/>
      <c r="F3288" s="560"/>
      <c r="G3288" s="561"/>
      <c r="H3288" s="581"/>
    </row>
    <row r="3289" spans="1:8" ht="31.5">
      <c r="A3289" s="581"/>
      <c r="B3289" s="559"/>
      <c r="C3289" s="369" t="s">
        <v>126</v>
      </c>
      <c r="D3289" s="369" t="s">
        <v>127</v>
      </c>
      <c r="E3289" s="370" t="s">
        <v>126</v>
      </c>
      <c r="F3289" s="371" t="s">
        <v>127</v>
      </c>
      <c r="G3289" s="561"/>
      <c r="H3289" s="581"/>
    </row>
    <row r="3290" spans="1:8" ht="15.75">
      <c r="A3290" s="367">
        <v>1</v>
      </c>
      <c r="B3290" s="367">
        <v>2</v>
      </c>
      <c r="C3290" s="372">
        <v>3</v>
      </c>
      <c r="D3290" s="372">
        <v>4</v>
      </c>
      <c r="E3290" s="373"/>
      <c r="F3290" s="374"/>
      <c r="G3290" s="368">
        <v>5</v>
      </c>
      <c r="H3290" s="367">
        <v>6</v>
      </c>
    </row>
    <row r="3291" spans="1:8" ht="18.75" customHeight="1">
      <c r="A3291" s="375">
        <v>1</v>
      </c>
      <c r="B3291" s="582" t="s">
        <v>128</v>
      </c>
      <c r="C3291" s="582"/>
      <c r="D3291" s="582"/>
      <c r="E3291" s="582"/>
      <c r="F3291" s="582"/>
      <c r="G3291" s="582"/>
      <c r="H3291" s="582"/>
    </row>
    <row r="3292" spans="1:8" ht="15.75">
      <c r="A3292" s="376" t="s">
        <v>594</v>
      </c>
      <c r="B3292" s="377" t="s">
        <v>129</v>
      </c>
      <c r="C3292" s="378" t="s">
        <v>26</v>
      </c>
      <c r="D3292" s="378" t="s">
        <v>26</v>
      </c>
      <c r="E3292" s="378" t="s">
        <v>26</v>
      </c>
      <c r="F3292" s="378" t="s">
        <v>26</v>
      </c>
      <c r="G3292" s="378" t="s">
        <v>26</v>
      </c>
      <c r="H3292" s="379" t="s">
        <v>130</v>
      </c>
    </row>
    <row r="3293" spans="1:8" ht="15.75">
      <c r="A3293" s="376" t="s">
        <v>735</v>
      </c>
      <c r="B3293" s="377" t="s">
        <v>131</v>
      </c>
      <c r="C3293" s="378" t="s">
        <v>26</v>
      </c>
      <c r="D3293" s="378" t="s">
        <v>26</v>
      </c>
      <c r="E3293" s="378" t="s">
        <v>26</v>
      </c>
      <c r="F3293" s="378" t="s">
        <v>26</v>
      </c>
      <c r="G3293" s="378" t="s">
        <v>26</v>
      </c>
      <c r="H3293" s="379" t="s">
        <v>130</v>
      </c>
    </row>
    <row r="3294" spans="1:8" ht="31.5">
      <c r="A3294" s="376" t="s">
        <v>737</v>
      </c>
      <c r="B3294" s="381" t="s">
        <v>132</v>
      </c>
      <c r="C3294" s="378" t="s">
        <v>26</v>
      </c>
      <c r="D3294" s="378" t="s">
        <v>26</v>
      </c>
      <c r="E3294" s="378" t="s">
        <v>26</v>
      </c>
      <c r="F3294" s="378" t="s">
        <v>26</v>
      </c>
      <c r="G3294" s="378" t="s">
        <v>26</v>
      </c>
      <c r="H3294" s="379" t="s">
        <v>130</v>
      </c>
    </row>
    <row r="3295" spans="1:8" ht="47.25">
      <c r="A3295" s="376" t="s">
        <v>739</v>
      </c>
      <c r="B3295" s="381" t="s">
        <v>133</v>
      </c>
      <c r="C3295" s="378" t="s">
        <v>26</v>
      </c>
      <c r="D3295" s="378" t="s">
        <v>26</v>
      </c>
      <c r="E3295" s="378" t="s">
        <v>26</v>
      </c>
      <c r="F3295" s="378" t="s">
        <v>26</v>
      </c>
      <c r="G3295" s="378" t="s">
        <v>26</v>
      </c>
      <c r="H3295" s="379" t="s">
        <v>130</v>
      </c>
    </row>
    <row r="3296" spans="1:8" ht="15.75">
      <c r="A3296" s="376" t="s">
        <v>852</v>
      </c>
      <c r="B3296" s="382" t="s">
        <v>134</v>
      </c>
      <c r="C3296" s="378" t="s">
        <v>26</v>
      </c>
      <c r="D3296" s="378" t="s">
        <v>26</v>
      </c>
      <c r="E3296" s="378" t="s">
        <v>26</v>
      </c>
      <c r="F3296" s="378" t="s">
        <v>26</v>
      </c>
      <c r="G3296" s="378" t="s">
        <v>26</v>
      </c>
      <c r="H3296" s="379" t="s">
        <v>130</v>
      </c>
    </row>
    <row r="3297" spans="1:8" ht="15.75">
      <c r="A3297" s="376" t="s">
        <v>853</v>
      </c>
      <c r="B3297" s="382" t="s">
        <v>135</v>
      </c>
      <c r="C3297" s="378" t="s">
        <v>26</v>
      </c>
      <c r="D3297" s="378" t="s">
        <v>26</v>
      </c>
      <c r="E3297" s="378" t="s">
        <v>26</v>
      </c>
      <c r="F3297" s="378" t="s">
        <v>26</v>
      </c>
      <c r="G3297" s="378" t="s">
        <v>26</v>
      </c>
      <c r="H3297" s="379" t="s">
        <v>130</v>
      </c>
    </row>
    <row r="3298" spans="1:8" ht="18.75" customHeight="1">
      <c r="A3298" s="376">
        <v>2</v>
      </c>
      <c r="B3298" s="579" t="s">
        <v>136</v>
      </c>
      <c r="C3298" s="579"/>
      <c r="D3298" s="579"/>
      <c r="E3298" s="579"/>
      <c r="F3298" s="579"/>
      <c r="G3298" s="579"/>
      <c r="H3298" s="579"/>
    </row>
    <row r="3299" spans="1:8" ht="31.5">
      <c r="A3299" s="376" t="s">
        <v>743</v>
      </c>
      <c r="B3299" s="381" t="s">
        <v>137</v>
      </c>
      <c r="C3299" s="378" t="s">
        <v>26</v>
      </c>
      <c r="D3299" s="378" t="s">
        <v>26</v>
      </c>
      <c r="E3299" s="378" t="s">
        <v>26</v>
      </c>
      <c r="F3299" s="378" t="s">
        <v>26</v>
      </c>
      <c r="G3299" s="378" t="s">
        <v>26</v>
      </c>
      <c r="H3299" s="379" t="s">
        <v>130</v>
      </c>
    </row>
    <row r="3300" spans="1:8" ht="47.25">
      <c r="A3300" s="376" t="s">
        <v>746</v>
      </c>
      <c r="B3300" s="381" t="s">
        <v>140</v>
      </c>
      <c r="C3300" s="378" t="s">
        <v>26</v>
      </c>
      <c r="D3300" s="378" t="s">
        <v>26</v>
      </c>
      <c r="E3300" s="378" t="s">
        <v>26</v>
      </c>
      <c r="F3300" s="378" t="s">
        <v>26</v>
      </c>
      <c r="G3300" s="378" t="s">
        <v>26</v>
      </c>
      <c r="H3300" s="379" t="s">
        <v>130</v>
      </c>
    </row>
    <row r="3301" spans="1:8" ht="31.5">
      <c r="A3301" s="376" t="s">
        <v>141</v>
      </c>
      <c r="B3301" s="381" t="s">
        <v>142</v>
      </c>
      <c r="C3301" s="378" t="s">
        <v>26</v>
      </c>
      <c r="D3301" s="378" t="s">
        <v>26</v>
      </c>
      <c r="E3301" s="378" t="s">
        <v>26</v>
      </c>
      <c r="F3301" s="378" t="s">
        <v>26</v>
      </c>
      <c r="G3301" s="378" t="s">
        <v>26</v>
      </c>
      <c r="H3301" s="379" t="s">
        <v>130</v>
      </c>
    </row>
    <row r="3302" spans="1:8" ht="18.75" customHeight="1">
      <c r="A3302" s="376">
        <v>3</v>
      </c>
      <c r="B3302" s="579" t="s">
        <v>143</v>
      </c>
      <c r="C3302" s="579"/>
      <c r="D3302" s="579"/>
      <c r="E3302" s="579"/>
      <c r="F3302" s="579"/>
      <c r="G3302" s="579"/>
      <c r="H3302" s="579"/>
    </row>
    <row r="3303" spans="1:8" ht="31.5">
      <c r="A3303" s="376" t="s">
        <v>756</v>
      </c>
      <c r="B3303" s="382" t="s">
        <v>144</v>
      </c>
      <c r="C3303" s="378" t="s">
        <v>26</v>
      </c>
      <c r="D3303" s="378" t="s">
        <v>26</v>
      </c>
      <c r="E3303" s="378" t="s">
        <v>26</v>
      </c>
      <c r="F3303" s="378" t="s">
        <v>26</v>
      </c>
      <c r="G3303" s="378" t="s">
        <v>26</v>
      </c>
      <c r="H3303" s="379" t="s">
        <v>130</v>
      </c>
    </row>
    <row r="3304" spans="1:8" ht="15.75">
      <c r="A3304" s="376" t="s">
        <v>757</v>
      </c>
      <c r="B3304" s="382" t="s">
        <v>145</v>
      </c>
      <c r="C3304" s="378" t="s">
        <v>26</v>
      </c>
      <c r="D3304" s="378" t="s">
        <v>26</v>
      </c>
      <c r="E3304" s="378" t="s">
        <v>26</v>
      </c>
      <c r="F3304" s="378" t="s">
        <v>26</v>
      </c>
      <c r="G3304" s="378" t="s">
        <v>26</v>
      </c>
      <c r="H3304" s="379" t="s">
        <v>130</v>
      </c>
    </row>
    <row r="3305" spans="1:8" ht="15.75">
      <c r="A3305" s="376" t="s">
        <v>147</v>
      </c>
      <c r="B3305" s="382" t="s">
        <v>148</v>
      </c>
      <c r="C3305" s="378" t="s">
        <v>26</v>
      </c>
      <c r="D3305" s="378" t="s">
        <v>26</v>
      </c>
      <c r="E3305" s="378" t="s">
        <v>26</v>
      </c>
      <c r="F3305" s="378" t="s">
        <v>26</v>
      </c>
      <c r="G3305" s="378" t="s">
        <v>26</v>
      </c>
      <c r="H3305" s="379" t="s">
        <v>130</v>
      </c>
    </row>
    <row r="3306" spans="1:8" ht="15.75">
      <c r="A3306" s="376" t="s">
        <v>151</v>
      </c>
      <c r="B3306" s="382" t="s">
        <v>152</v>
      </c>
      <c r="C3306" s="378" t="s">
        <v>26</v>
      </c>
      <c r="D3306" s="378" t="s">
        <v>26</v>
      </c>
      <c r="E3306" s="378" t="s">
        <v>26</v>
      </c>
      <c r="F3306" s="378" t="s">
        <v>26</v>
      </c>
      <c r="G3306" s="378" t="s">
        <v>26</v>
      </c>
      <c r="H3306" s="379" t="s">
        <v>130</v>
      </c>
    </row>
    <row r="3307" spans="1:8" ht="15.75">
      <c r="A3307" s="376" t="s">
        <v>155</v>
      </c>
      <c r="B3307" s="382" t="s">
        <v>156</v>
      </c>
      <c r="C3307" s="378" t="s">
        <v>26</v>
      </c>
      <c r="D3307" s="378" t="s">
        <v>26</v>
      </c>
      <c r="E3307" s="378" t="s">
        <v>26</v>
      </c>
      <c r="F3307" s="378" t="s">
        <v>26</v>
      </c>
      <c r="G3307" s="378" t="s">
        <v>26</v>
      </c>
      <c r="H3307" s="379" t="s">
        <v>130</v>
      </c>
    </row>
    <row r="3308" spans="1:8" ht="18.75" customHeight="1">
      <c r="A3308" s="376">
        <v>4</v>
      </c>
      <c r="B3308" s="579" t="s">
        <v>159</v>
      </c>
      <c r="C3308" s="579"/>
      <c r="D3308" s="579"/>
      <c r="E3308" s="579"/>
      <c r="F3308" s="579"/>
      <c r="G3308" s="579"/>
      <c r="H3308" s="579"/>
    </row>
    <row r="3309" spans="1:8" ht="31.5">
      <c r="A3309" s="376" t="s">
        <v>160</v>
      </c>
      <c r="B3309" s="381" t="s">
        <v>161</v>
      </c>
      <c r="C3309" s="378" t="s">
        <v>26</v>
      </c>
      <c r="D3309" s="378" t="s">
        <v>26</v>
      </c>
      <c r="E3309" s="378" t="s">
        <v>26</v>
      </c>
      <c r="F3309" s="378" t="s">
        <v>26</v>
      </c>
      <c r="G3309" s="378" t="s">
        <v>26</v>
      </c>
      <c r="H3309" s="379" t="s">
        <v>130</v>
      </c>
    </row>
    <row r="3310" spans="1:8" ht="47.25">
      <c r="A3310" s="376" t="s">
        <v>162</v>
      </c>
      <c r="B3310" s="381" t="s">
        <v>163</v>
      </c>
      <c r="C3310" s="378" t="s">
        <v>26</v>
      </c>
      <c r="D3310" s="378" t="s">
        <v>26</v>
      </c>
      <c r="E3310" s="378" t="s">
        <v>26</v>
      </c>
      <c r="F3310" s="378" t="s">
        <v>26</v>
      </c>
      <c r="G3310" s="378" t="s">
        <v>26</v>
      </c>
      <c r="H3310" s="379" t="s">
        <v>130</v>
      </c>
    </row>
    <row r="3311" spans="1:8" ht="31.5">
      <c r="A3311" s="376" t="s">
        <v>164</v>
      </c>
      <c r="B3311" s="382" t="s">
        <v>165</v>
      </c>
      <c r="C3311" s="378" t="s">
        <v>26</v>
      </c>
      <c r="D3311" s="378" t="s">
        <v>26</v>
      </c>
      <c r="E3311" s="378" t="s">
        <v>26</v>
      </c>
      <c r="F3311" s="378" t="s">
        <v>26</v>
      </c>
      <c r="G3311" s="378" t="s">
        <v>26</v>
      </c>
      <c r="H3311" s="379" t="s">
        <v>130</v>
      </c>
    </row>
    <row r="3312" spans="1:8" ht="31.5">
      <c r="A3312" s="384" t="s">
        <v>166</v>
      </c>
      <c r="B3312" s="385" t="s">
        <v>167</v>
      </c>
      <c r="C3312" s="386" t="s">
        <v>26</v>
      </c>
      <c r="D3312" s="386" t="s">
        <v>26</v>
      </c>
      <c r="E3312" s="386" t="s">
        <v>26</v>
      </c>
      <c r="F3312" s="386" t="s">
        <v>26</v>
      </c>
      <c r="G3312" s="386" t="s">
        <v>26</v>
      </c>
      <c r="H3312" s="387" t="s">
        <v>130</v>
      </c>
    </row>
    <row r="3313" spans="1:8" ht="15.75">
      <c r="A3313" s="388"/>
      <c r="B3313" s="389"/>
      <c r="C3313" s="390"/>
      <c r="D3313" s="390"/>
      <c r="E3313" s="390"/>
      <c r="F3313" s="390"/>
      <c r="G3313" s="390"/>
      <c r="H3313" s="98"/>
    </row>
    <row r="3314" spans="1:8" ht="18.75" customHeight="1">
      <c r="A3314" s="580" t="s">
        <v>168</v>
      </c>
      <c r="B3314" s="580"/>
      <c r="C3314" s="580"/>
      <c r="D3314" s="580"/>
      <c r="E3314" s="580"/>
      <c r="F3314" s="580"/>
      <c r="G3314" s="580"/>
      <c r="H3314" s="580"/>
    </row>
    <row r="3315" spans="1:8" ht="15.75">
      <c r="A3315" s="391"/>
      <c r="B3315" s="391"/>
      <c r="C3315" s="391"/>
      <c r="D3315" s="391"/>
      <c r="E3315" s="391"/>
      <c r="F3315" s="391"/>
      <c r="G3315" s="391"/>
      <c r="H3315" s="391"/>
    </row>
    <row r="3316" spans="1:8" ht="15.75">
      <c r="A3316" s="391"/>
      <c r="B3316" s="391"/>
      <c r="C3316" s="391"/>
      <c r="D3316" s="391"/>
      <c r="E3316" s="391"/>
      <c r="F3316" s="391"/>
      <c r="G3316" s="391"/>
      <c r="H3316" s="391"/>
    </row>
    <row r="3317" spans="1:8" ht="15.75">
      <c r="A3317" s="391"/>
      <c r="B3317" s="391"/>
      <c r="C3317" s="391"/>
      <c r="D3317" s="391"/>
      <c r="E3317" s="391"/>
      <c r="F3317" s="391"/>
      <c r="G3317" s="391"/>
      <c r="H3317" s="391"/>
    </row>
    <row r="3318" spans="1:8" ht="15.75">
      <c r="A3318" s="391"/>
      <c r="B3318" s="391"/>
      <c r="C3318" s="391"/>
      <c r="D3318" s="391"/>
      <c r="E3318" s="391"/>
      <c r="F3318" s="391"/>
      <c r="G3318" s="391"/>
      <c r="H3318" s="391"/>
    </row>
  </sheetData>
  <sheetProtection selectLockedCells="1" selectUnlockedCells="1"/>
  <mergeCells count="938">
    <mergeCell ref="A6:H6"/>
    <mergeCell ref="A7:H7"/>
    <mergeCell ref="A16:H16"/>
    <mergeCell ref="A18:A20"/>
    <mergeCell ref="B18:B20"/>
    <mergeCell ref="C18:F19"/>
    <mergeCell ref="G18:G20"/>
    <mergeCell ref="H18:H20"/>
    <mergeCell ref="B22:H22"/>
    <mergeCell ref="B29:H29"/>
    <mergeCell ref="B33:H33"/>
    <mergeCell ref="B39:H39"/>
    <mergeCell ref="A45:H45"/>
    <mergeCell ref="A52:H52"/>
    <mergeCell ref="A53:H53"/>
    <mergeCell ref="A61:H61"/>
    <mergeCell ref="A62:H62"/>
    <mergeCell ref="A64:A66"/>
    <mergeCell ref="B64:B66"/>
    <mergeCell ref="C64:F65"/>
    <mergeCell ref="G64:G66"/>
    <mergeCell ref="H64:H66"/>
    <mergeCell ref="B68:H68"/>
    <mergeCell ref="B75:H75"/>
    <mergeCell ref="B79:H79"/>
    <mergeCell ref="B85:H85"/>
    <mergeCell ref="A91:H91"/>
    <mergeCell ref="A98:H98"/>
    <mergeCell ref="A99:H99"/>
    <mergeCell ref="A107:H107"/>
    <mergeCell ref="A108:H108"/>
    <mergeCell ref="A110:A112"/>
    <mergeCell ref="B110:B112"/>
    <mergeCell ref="C110:F111"/>
    <mergeCell ref="G110:G112"/>
    <mergeCell ref="H110:H112"/>
    <mergeCell ref="B114:H114"/>
    <mergeCell ref="B121:H121"/>
    <mergeCell ref="B125:H125"/>
    <mergeCell ref="B131:H131"/>
    <mergeCell ref="A137:H137"/>
    <mergeCell ref="A144:H144"/>
    <mergeCell ref="A145:H145"/>
    <mergeCell ref="A154:H154"/>
    <mergeCell ref="A156:A158"/>
    <mergeCell ref="B156:B158"/>
    <mergeCell ref="C156:F157"/>
    <mergeCell ref="G156:G158"/>
    <mergeCell ref="H156:H158"/>
    <mergeCell ref="B160:H160"/>
    <mergeCell ref="B167:H167"/>
    <mergeCell ref="B171:H171"/>
    <mergeCell ref="B177:H177"/>
    <mergeCell ref="A183:H183"/>
    <mergeCell ref="A190:H190"/>
    <mergeCell ref="A191:H191"/>
    <mergeCell ref="A200:H200"/>
    <mergeCell ref="A202:A204"/>
    <mergeCell ref="B202:B204"/>
    <mergeCell ref="C202:F203"/>
    <mergeCell ref="G202:G204"/>
    <mergeCell ref="H202:H204"/>
    <mergeCell ref="B206:H206"/>
    <mergeCell ref="B213:H213"/>
    <mergeCell ref="B217:H217"/>
    <mergeCell ref="B223:H223"/>
    <mergeCell ref="A229:H229"/>
    <mergeCell ref="A236:H236"/>
    <mergeCell ref="A237:H237"/>
    <mergeCell ref="A246:H246"/>
    <mergeCell ref="A248:A250"/>
    <mergeCell ref="B248:B250"/>
    <mergeCell ref="C248:F249"/>
    <mergeCell ref="G248:G250"/>
    <mergeCell ref="H248:H250"/>
    <mergeCell ref="B252:H252"/>
    <mergeCell ref="B259:H259"/>
    <mergeCell ref="B263:H263"/>
    <mergeCell ref="B269:H269"/>
    <mergeCell ref="A275:H275"/>
    <mergeCell ref="A282:H282"/>
    <mergeCell ref="A283:H283"/>
    <mergeCell ref="A292:H292"/>
    <mergeCell ref="A294:A296"/>
    <mergeCell ref="B294:B296"/>
    <mergeCell ref="C294:F295"/>
    <mergeCell ref="G294:G296"/>
    <mergeCell ref="H294:H296"/>
    <mergeCell ref="B298:H298"/>
    <mergeCell ref="B305:H305"/>
    <mergeCell ref="B309:H309"/>
    <mergeCell ref="B315:H315"/>
    <mergeCell ref="A321:H321"/>
    <mergeCell ref="A328:H328"/>
    <mergeCell ref="A329:H329"/>
    <mergeCell ref="A338:H338"/>
    <mergeCell ref="A340:A342"/>
    <mergeCell ref="B340:B342"/>
    <mergeCell ref="C340:F341"/>
    <mergeCell ref="G340:G342"/>
    <mergeCell ref="H340:H342"/>
    <mergeCell ref="B344:H344"/>
    <mergeCell ref="B351:H351"/>
    <mergeCell ref="B355:H355"/>
    <mergeCell ref="B361:H361"/>
    <mergeCell ref="A367:H367"/>
    <mergeCell ref="A374:H374"/>
    <mergeCell ref="A375:H375"/>
    <mergeCell ref="A384:H384"/>
    <mergeCell ref="A386:A388"/>
    <mergeCell ref="B386:B388"/>
    <mergeCell ref="C386:F387"/>
    <mergeCell ref="G386:G388"/>
    <mergeCell ref="H386:H388"/>
    <mergeCell ref="B390:H390"/>
    <mergeCell ref="B397:H397"/>
    <mergeCell ref="B401:H401"/>
    <mergeCell ref="B407:H407"/>
    <mergeCell ref="A413:H413"/>
    <mergeCell ref="A420:H420"/>
    <mergeCell ref="A421:H421"/>
    <mergeCell ref="A430:H430"/>
    <mergeCell ref="A432:A434"/>
    <mergeCell ref="B432:B434"/>
    <mergeCell ref="C432:F433"/>
    <mergeCell ref="G432:G434"/>
    <mergeCell ref="H432:H434"/>
    <mergeCell ref="B436:H436"/>
    <mergeCell ref="B443:H443"/>
    <mergeCell ref="B447:H447"/>
    <mergeCell ref="B453:H453"/>
    <mergeCell ref="A459:H459"/>
    <mergeCell ref="A466:H466"/>
    <mergeCell ref="A467:H467"/>
    <mergeCell ref="A476:H476"/>
    <mergeCell ref="A478:A480"/>
    <mergeCell ref="B478:B480"/>
    <mergeCell ref="C478:F479"/>
    <mergeCell ref="G478:G480"/>
    <mergeCell ref="H478:H480"/>
    <mergeCell ref="B482:H482"/>
    <mergeCell ref="B489:H489"/>
    <mergeCell ref="B493:H493"/>
    <mergeCell ref="B499:H499"/>
    <mergeCell ref="A505:H505"/>
    <mergeCell ref="A512:H512"/>
    <mergeCell ref="A513:H513"/>
    <mergeCell ref="A522:H522"/>
    <mergeCell ref="A524:A526"/>
    <mergeCell ref="B524:B526"/>
    <mergeCell ref="C524:F525"/>
    <mergeCell ref="G524:G526"/>
    <mergeCell ref="H524:H526"/>
    <mergeCell ref="B528:H528"/>
    <mergeCell ref="B535:H535"/>
    <mergeCell ref="B539:H539"/>
    <mergeCell ref="B545:H545"/>
    <mergeCell ref="A551:H551"/>
    <mergeCell ref="A558:H558"/>
    <mergeCell ref="A559:H559"/>
    <mergeCell ref="A568:H568"/>
    <mergeCell ref="A570:A572"/>
    <mergeCell ref="B570:B572"/>
    <mergeCell ref="C570:F571"/>
    <mergeCell ref="G570:G572"/>
    <mergeCell ref="H570:H572"/>
    <mergeCell ref="B574:H574"/>
    <mergeCell ref="B581:H581"/>
    <mergeCell ref="B585:H585"/>
    <mergeCell ref="B591:H591"/>
    <mergeCell ref="A597:H597"/>
    <mergeCell ref="A604:H604"/>
    <mergeCell ref="A605:H605"/>
    <mergeCell ref="A614:H614"/>
    <mergeCell ref="A616:A618"/>
    <mergeCell ref="B616:B618"/>
    <mergeCell ref="C616:F617"/>
    <mergeCell ref="G616:G618"/>
    <mergeCell ref="H616:H618"/>
    <mergeCell ref="B620:H620"/>
    <mergeCell ref="B627:H627"/>
    <mergeCell ref="B631:H631"/>
    <mergeCell ref="B637:H637"/>
    <mergeCell ref="A643:H643"/>
    <mergeCell ref="A650:H650"/>
    <mergeCell ref="A651:H651"/>
    <mergeCell ref="A660:H660"/>
    <mergeCell ref="A662:A664"/>
    <mergeCell ref="B662:B664"/>
    <mergeCell ref="C662:F663"/>
    <mergeCell ref="G662:G664"/>
    <mergeCell ref="H662:H664"/>
    <mergeCell ref="B666:H666"/>
    <mergeCell ref="B673:H673"/>
    <mergeCell ref="B677:H677"/>
    <mergeCell ref="B683:H683"/>
    <mergeCell ref="A689:H689"/>
    <mergeCell ref="A696:H696"/>
    <mergeCell ref="A697:H697"/>
    <mergeCell ref="A706:H706"/>
    <mergeCell ref="A708:A710"/>
    <mergeCell ref="B708:B710"/>
    <mergeCell ref="C708:F709"/>
    <mergeCell ref="G708:G710"/>
    <mergeCell ref="H708:H710"/>
    <mergeCell ref="B712:H712"/>
    <mergeCell ref="B719:H719"/>
    <mergeCell ref="B723:H723"/>
    <mergeCell ref="B729:H729"/>
    <mergeCell ref="A735:H735"/>
    <mergeCell ref="A742:H742"/>
    <mergeCell ref="A743:H743"/>
    <mergeCell ref="A752:H752"/>
    <mergeCell ref="A754:A756"/>
    <mergeCell ref="B754:B756"/>
    <mergeCell ref="C754:F755"/>
    <mergeCell ref="G754:G756"/>
    <mergeCell ref="H754:H756"/>
    <mergeCell ref="B758:H758"/>
    <mergeCell ref="B765:H765"/>
    <mergeCell ref="B769:H769"/>
    <mergeCell ref="B775:H775"/>
    <mergeCell ref="A781:H781"/>
    <mergeCell ref="A788:H788"/>
    <mergeCell ref="A789:H789"/>
    <mergeCell ref="A798:H798"/>
    <mergeCell ref="A800:A802"/>
    <mergeCell ref="B800:B802"/>
    <mergeCell ref="C800:F801"/>
    <mergeCell ref="G800:G802"/>
    <mergeCell ref="H800:H802"/>
    <mergeCell ref="B804:H804"/>
    <mergeCell ref="B811:H811"/>
    <mergeCell ref="B815:H815"/>
    <mergeCell ref="B821:H821"/>
    <mergeCell ref="A827:H827"/>
    <mergeCell ref="A834:H834"/>
    <mergeCell ref="A835:H835"/>
    <mergeCell ref="A844:H844"/>
    <mergeCell ref="A846:A848"/>
    <mergeCell ref="B846:B848"/>
    <mergeCell ref="C846:F847"/>
    <mergeCell ref="G846:G848"/>
    <mergeCell ref="H846:H848"/>
    <mergeCell ref="B850:H850"/>
    <mergeCell ref="B857:H857"/>
    <mergeCell ref="B861:H861"/>
    <mergeCell ref="B867:H867"/>
    <mergeCell ref="A873:H873"/>
    <mergeCell ref="A880:H880"/>
    <mergeCell ref="A881:H881"/>
    <mergeCell ref="A890:H890"/>
    <mergeCell ref="A892:A894"/>
    <mergeCell ref="B892:B894"/>
    <mergeCell ref="C892:F893"/>
    <mergeCell ref="G892:G894"/>
    <mergeCell ref="H892:H894"/>
    <mergeCell ref="B896:H896"/>
    <mergeCell ref="B903:H903"/>
    <mergeCell ref="B907:H907"/>
    <mergeCell ref="B913:H913"/>
    <mergeCell ref="A919:H919"/>
    <mergeCell ref="A926:H926"/>
    <mergeCell ref="A927:H927"/>
    <mergeCell ref="A936:H936"/>
    <mergeCell ref="A938:A940"/>
    <mergeCell ref="B938:B940"/>
    <mergeCell ref="C938:F939"/>
    <mergeCell ref="G938:G940"/>
    <mergeCell ref="H938:H940"/>
    <mergeCell ref="B942:H942"/>
    <mergeCell ref="B949:H949"/>
    <mergeCell ref="B953:H953"/>
    <mergeCell ref="B959:H959"/>
    <mergeCell ref="A972:H972"/>
    <mergeCell ref="A973:H973"/>
    <mergeCell ref="A3268:H3268"/>
    <mergeCell ref="A965:H965"/>
    <mergeCell ref="A982:H982"/>
    <mergeCell ref="A984:A986"/>
    <mergeCell ref="B984:B986"/>
    <mergeCell ref="C984:F985"/>
    <mergeCell ref="G984:G986"/>
    <mergeCell ref="H984:H986"/>
    <mergeCell ref="B988:H988"/>
    <mergeCell ref="B995:H995"/>
    <mergeCell ref="B999:H999"/>
    <mergeCell ref="B1005:H1005"/>
    <mergeCell ref="A1011:H1011"/>
    <mergeCell ref="A1018:H1018"/>
    <mergeCell ref="A1019:H1019"/>
    <mergeCell ref="A1028:H1028"/>
    <mergeCell ref="A1030:A1032"/>
    <mergeCell ref="B1030:B1032"/>
    <mergeCell ref="C1030:F1031"/>
    <mergeCell ref="G1030:G1032"/>
    <mergeCell ref="H1030:H1032"/>
    <mergeCell ref="B1034:H1034"/>
    <mergeCell ref="B1041:H1041"/>
    <mergeCell ref="B1045:H1045"/>
    <mergeCell ref="B1051:H1051"/>
    <mergeCell ref="A1057:H1057"/>
    <mergeCell ref="A1064:H1064"/>
    <mergeCell ref="A1065:H1065"/>
    <mergeCell ref="A1074:H1074"/>
    <mergeCell ref="A1076:A1078"/>
    <mergeCell ref="B1076:B1078"/>
    <mergeCell ref="C1076:F1077"/>
    <mergeCell ref="G1076:G1078"/>
    <mergeCell ref="H1076:H1078"/>
    <mergeCell ref="B1080:H1080"/>
    <mergeCell ref="B1087:H1087"/>
    <mergeCell ref="B1091:H1091"/>
    <mergeCell ref="B1097:H1097"/>
    <mergeCell ref="A1103:H1103"/>
    <mergeCell ref="A1110:H1110"/>
    <mergeCell ref="A1111:H1111"/>
    <mergeCell ref="A1120:H1120"/>
    <mergeCell ref="A1122:A1124"/>
    <mergeCell ref="B1122:B1124"/>
    <mergeCell ref="C1122:F1123"/>
    <mergeCell ref="G1122:G1124"/>
    <mergeCell ref="H1122:H1124"/>
    <mergeCell ref="B1126:H1126"/>
    <mergeCell ref="B1133:H1133"/>
    <mergeCell ref="B1137:H1137"/>
    <mergeCell ref="B1143:H1143"/>
    <mergeCell ref="A1149:H1149"/>
    <mergeCell ref="A1156:H1156"/>
    <mergeCell ref="A1157:H1157"/>
    <mergeCell ref="A1166:H1166"/>
    <mergeCell ref="A1168:A1170"/>
    <mergeCell ref="B1168:B1170"/>
    <mergeCell ref="C1168:F1169"/>
    <mergeCell ref="G1168:G1170"/>
    <mergeCell ref="H1168:H1170"/>
    <mergeCell ref="B1172:H1172"/>
    <mergeCell ref="B1179:H1179"/>
    <mergeCell ref="B1183:H1183"/>
    <mergeCell ref="B1189:H1189"/>
    <mergeCell ref="A1195:H1195"/>
    <mergeCell ref="A1202:H1202"/>
    <mergeCell ref="A1203:H1203"/>
    <mergeCell ref="A1212:H1212"/>
    <mergeCell ref="A1214:A1216"/>
    <mergeCell ref="B1214:B1216"/>
    <mergeCell ref="C1214:F1215"/>
    <mergeCell ref="G1214:G1216"/>
    <mergeCell ref="H1214:H1216"/>
    <mergeCell ref="B1218:H1218"/>
    <mergeCell ref="B1225:H1225"/>
    <mergeCell ref="B1229:H1229"/>
    <mergeCell ref="B1235:H1235"/>
    <mergeCell ref="A1241:H1241"/>
    <mergeCell ref="A1248:H1248"/>
    <mergeCell ref="A1249:H1249"/>
    <mergeCell ref="A1258:H1258"/>
    <mergeCell ref="A1260:A1262"/>
    <mergeCell ref="B1260:B1262"/>
    <mergeCell ref="C1260:F1261"/>
    <mergeCell ref="G1260:G1262"/>
    <mergeCell ref="H1260:H1262"/>
    <mergeCell ref="B1264:H1264"/>
    <mergeCell ref="B1271:H1271"/>
    <mergeCell ref="B1275:H1275"/>
    <mergeCell ref="B1281:H1281"/>
    <mergeCell ref="A1287:H1287"/>
    <mergeCell ref="A1294:H1294"/>
    <mergeCell ref="A1295:H1295"/>
    <mergeCell ref="A1304:H1304"/>
    <mergeCell ref="A1306:A1308"/>
    <mergeCell ref="B1306:B1308"/>
    <mergeCell ref="C1306:F1307"/>
    <mergeCell ref="G1306:G1308"/>
    <mergeCell ref="H1306:H1308"/>
    <mergeCell ref="B1310:H1310"/>
    <mergeCell ref="B1317:H1317"/>
    <mergeCell ref="B1321:H1321"/>
    <mergeCell ref="B1327:H1327"/>
    <mergeCell ref="A1333:H1333"/>
    <mergeCell ref="A1340:H1340"/>
    <mergeCell ref="A1341:H1341"/>
    <mergeCell ref="A1350:H1350"/>
    <mergeCell ref="A1352:A1354"/>
    <mergeCell ref="B1352:B1354"/>
    <mergeCell ref="C1352:F1353"/>
    <mergeCell ref="G1352:G1354"/>
    <mergeCell ref="H1352:H1354"/>
    <mergeCell ref="B1356:H1356"/>
    <mergeCell ref="B1363:H1363"/>
    <mergeCell ref="B1367:H1367"/>
    <mergeCell ref="B1373:H1373"/>
    <mergeCell ref="A1379:H1379"/>
    <mergeCell ref="A1386:H1386"/>
    <mergeCell ref="A1387:H1387"/>
    <mergeCell ref="A1396:H1396"/>
    <mergeCell ref="A1398:A1400"/>
    <mergeCell ref="B1398:B1400"/>
    <mergeCell ref="C1398:F1399"/>
    <mergeCell ref="G1398:G1400"/>
    <mergeCell ref="H1398:H1400"/>
    <mergeCell ref="B1402:H1402"/>
    <mergeCell ref="B1409:H1409"/>
    <mergeCell ref="B1413:H1413"/>
    <mergeCell ref="B1419:H1419"/>
    <mergeCell ref="A1425:H1425"/>
    <mergeCell ref="A1432:H1432"/>
    <mergeCell ref="A1433:H1433"/>
    <mergeCell ref="A1442:H1442"/>
    <mergeCell ref="A1444:A1446"/>
    <mergeCell ref="B1444:B1446"/>
    <mergeCell ref="C1444:F1445"/>
    <mergeCell ref="G1444:G1446"/>
    <mergeCell ref="H1444:H1446"/>
    <mergeCell ref="B1448:H1448"/>
    <mergeCell ref="B1455:H1455"/>
    <mergeCell ref="B1459:H1459"/>
    <mergeCell ref="B1465:H1465"/>
    <mergeCell ref="A1471:H1471"/>
    <mergeCell ref="A1478:H1478"/>
    <mergeCell ref="A1479:H1479"/>
    <mergeCell ref="A1488:H1488"/>
    <mergeCell ref="A1490:A1492"/>
    <mergeCell ref="B1490:B1492"/>
    <mergeCell ref="C1490:F1491"/>
    <mergeCell ref="G1490:G1492"/>
    <mergeCell ref="H1490:H1492"/>
    <mergeCell ref="B1494:H1494"/>
    <mergeCell ref="B1501:H1501"/>
    <mergeCell ref="B1505:H1505"/>
    <mergeCell ref="B1511:H1511"/>
    <mergeCell ref="A1517:H1517"/>
    <mergeCell ref="A1524:H1524"/>
    <mergeCell ref="A1525:H1525"/>
    <mergeCell ref="A1534:H1534"/>
    <mergeCell ref="A1536:A1538"/>
    <mergeCell ref="B1536:B1538"/>
    <mergeCell ref="C1536:F1537"/>
    <mergeCell ref="G1536:G1538"/>
    <mergeCell ref="H1536:H1538"/>
    <mergeCell ref="B1540:H1540"/>
    <mergeCell ref="B1547:H1547"/>
    <mergeCell ref="B1551:H1551"/>
    <mergeCell ref="B1557:H1557"/>
    <mergeCell ref="A1563:H1563"/>
    <mergeCell ref="A1570:H1570"/>
    <mergeCell ref="A1571:H1571"/>
    <mergeCell ref="A1580:H1580"/>
    <mergeCell ref="A1582:A1584"/>
    <mergeCell ref="B1582:B1584"/>
    <mergeCell ref="C1582:F1583"/>
    <mergeCell ref="G1582:G1584"/>
    <mergeCell ref="H1582:H1584"/>
    <mergeCell ref="B1586:H1586"/>
    <mergeCell ref="B1593:H1593"/>
    <mergeCell ref="B1597:H1597"/>
    <mergeCell ref="B1603:H1603"/>
    <mergeCell ref="A1609:H1609"/>
    <mergeCell ref="A1616:H1616"/>
    <mergeCell ref="A1617:H1617"/>
    <mergeCell ref="A1626:H1626"/>
    <mergeCell ref="A1628:A1630"/>
    <mergeCell ref="B1628:B1630"/>
    <mergeCell ref="C1628:F1629"/>
    <mergeCell ref="G1628:G1630"/>
    <mergeCell ref="H1628:H1630"/>
    <mergeCell ref="B1632:H1632"/>
    <mergeCell ref="B1639:H1639"/>
    <mergeCell ref="B1643:H1643"/>
    <mergeCell ref="B1649:H1649"/>
    <mergeCell ref="A1655:H1655"/>
    <mergeCell ref="A1662:H1662"/>
    <mergeCell ref="A1663:H1663"/>
    <mergeCell ref="A1672:H1672"/>
    <mergeCell ref="A1674:A1676"/>
    <mergeCell ref="B1674:B1676"/>
    <mergeCell ref="C1674:F1675"/>
    <mergeCell ref="G1674:G1676"/>
    <mergeCell ref="H1674:H1676"/>
    <mergeCell ref="B1678:H1678"/>
    <mergeCell ref="B1685:H1685"/>
    <mergeCell ref="B1689:H1689"/>
    <mergeCell ref="B1695:H1695"/>
    <mergeCell ref="A1701:H1701"/>
    <mergeCell ref="A1708:H1708"/>
    <mergeCell ref="A1709:H1709"/>
    <mergeCell ref="A1718:H1718"/>
    <mergeCell ref="A1720:A1722"/>
    <mergeCell ref="B1720:B1722"/>
    <mergeCell ref="C1720:F1721"/>
    <mergeCell ref="G1720:G1722"/>
    <mergeCell ref="H1720:H1722"/>
    <mergeCell ref="B1724:H1724"/>
    <mergeCell ref="B1731:H1731"/>
    <mergeCell ref="B1735:H1735"/>
    <mergeCell ref="B1741:H1741"/>
    <mergeCell ref="A1747:H1747"/>
    <mergeCell ref="A1754:H1754"/>
    <mergeCell ref="A1755:H1755"/>
    <mergeCell ref="A1764:H1764"/>
    <mergeCell ref="A1766:A1768"/>
    <mergeCell ref="B1766:B1768"/>
    <mergeCell ref="C1766:F1767"/>
    <mergeCell ref="G1766:G1768"/>
    <mergeCell ref="H1766:H1768"/>
    <mergeCell ref="B1770:H1770"/>
    <mergeCell ref="B1777:H1777"/>
    <mergeCell ref="B1781:H1781"/>
    <mergeCell ref="B1787:H1787"/>
    <mergeCell ref="A1793:H1793"/>
    <mergeCell ref="A1803:H1803"/>
    <mergeCell ref="A1804:H1804"/>
    <mergeCell ref="A1813:H1813"/>
    <mergeCell ref="A1815:A1817"/>
    <mergeCell ref="B1815:B1817"/>
    <mergeCell ref="C1815:F1816"/>
    <mergeCell ref="G1815:G1817"/>
    <mergeCell ref="H1815:H1817"/>
    <mergeCell ref="B1819:H1819"/>
    <mergeCell ref="B1826:H1826"/>
    <mergeCell ref="B1830:H1830"/>
    <mergeCell ref="B1836:H1836"/>
    <mergeCell ref="A1842:H1842"/>
    <mergeCell ref="A1849:H1849"/>
    <mergeCell ref="A1850:H1850"/>
    <mergeCell ref="A1859:H1859"/>
    <mergeCell ref="A1861:A1863"/>
    <mergeCell ref="B1861:B1863"/>
    <mergeCell ref="C1861:F1862"/>
    <mergeCell ref="G1861:G1863"/>
    <mergeCell ref="H1861:H1863"/>
    <mergeCell ref="B1865:H1865"/>
    <mergeCell ref="B1872:H1872"/>
    <mergeCell ref="B1876:H1876"/>
    <mergeCell ref="B1882:H1882"/>
    <mergeCell ref="A1888:H1888"/>
    <mergeCell ref="A1895:H1895"/>
    <mergeCell ref="A1896:H1896"/>
    <mergeCell ref="A1905:H1905"/>
    <mergeCell ref="A1907:A1909"/>
    <mergeCell ref="B1907:B1909"/>
    <mergeCell ref="C1907:F1908"/>
    <mergeCell ref="G1907:G1909"/>
    <mergeCell ref="H1907:H1909"/>
    <mergeCell ref="B1911:H1911"/>
    <mergeCell ref="B1918:H1918"/>
    <mergeCell ref="B1922:H1922"/>
    <mergeCell ref="B1928:H1928"/>
    <mergeCell ref="A1934:H1934"/>
    <mergeCell ref="A1941:H1941"/>
    <mergeCell ref="A1942:H1942"/>
    <mergeCell ref="A1951:H1951"/>
    <mergeCell ref="A1953:A1955"/>
    <mergeCell ref="B1953:B1955"/>
    <mergeCell ref="C1953:F1954"/>
    <mergeCell ref="G1953:G1955"/>
    <mergeCell ref="H1953:H1955"/>
    <mergeCell ref="B1957:H1957"/>
    <mergeCell ref="B1964:H1964"/>
    <mergeCell ref="B1968:H1968"/>
    <mergeCell ref="B1974:H1974"/>
    <mergeCell ref="A1980:H1980"/>
    <mergeCell ref="A1987:H1987"/>
    <mergeCell ref="A1988:H1988"/>
    <mergeCell ref="A1997:H1997"/>
    <mergeCell ref="A1999:A2001"/>
    <mergeCell ref="B1999:B2001"/>
    <mergeCell ref="C1999:F2000"/>
    <mergeCell ref="G1999:G2001"/>
    <mergeCell ref="H1999:H2001"/>
    <mergeCell ref="B2003:H2003"/>
    <mergeCell ref="B2010:H2010"/>
    <mergeCell ref="B2014:H2014"/>
    <mergeCell ref="B2020:H2020"/>
    <mergeCell ref="A2026:H2026"/>
    <mergeCell ref="A2033:H2033"/>
    <mergeCell ref="A2034:H2034"/>
    <mergeCell ref="A2043:H2043"/>
    <mergeCell ref="A2045:A2047"/>
    <mergeCell ref="B2045:B2047"/>
    <mergeCell ref="C2045:F2046"/>
    <mergeCell ref="G2045:G2047"/>
    <mergeCell ref="H2045:H2047"/>
    <mergeCell ref="B2049:H2049"/>
    <mergeCell ref="B2056:H2056"/>
    <mergeCell ref="B2060:H2060"/>
    <mergeCell ref="B2066:H2066"/>
    <mergeCell ref="A2072:H2072"/>
    <mergeCell ref="A2079:H2079"/>
    <mergeCell ref="A2080:H2080"/>
    <mergeCell ref="A2089:H2089"/>
    <mergeCell ref="A2091:A2093"/>
    <mergeCell ref="B2091:B2093"/>
    <mergeCell ref="C2091:F2092"/>
    <mergeCell ref="G2091:G2093"/>
    <mergeCell ref="H2091:H2093"/>
    <mergeCell ref="B2095:H2095"/>
    <mergeCell ref="B2102:H2102"/>
    <mergeCell ref="B2106:H2106"/>
    <mergeCell ref="B2112:H2112"/>
    <mergeCell ref="A2118:H2118"/>
    <mergeCell ref="A2125:H2125"/>
    <mergeCell ref="A2126:H2126"/>
    <mergeCell ref="A2135:H2135"/>
    <mergeCell ref="A2137:A2139"/>
    <mergeCell ref="B2137:B2139"/>
    <mergeCell ref="C2137:F2138"/>
    <mergeCell ref="G2137:G2139"/>
    <mergeCell ref="H2137:H2139"/>
    <mergeCell ref="B2141:H2141"/>
    <mergeCell ref="B2148:H2148"/>
    <mergeCell ref="B2152:H2152"/>
    <mergeCell ref="B2158:H2158"/>
    <mergeCell ref="A2164:H2164"/>
    <mergeCell ref="A2171:H2171"/>
    <mergeCell ref="A2172:H2172"/>
    <mergeCell ref="A2181:H2181"/>
    <mergeCell ref="A2183:A2185"/>
    <mergeCell ref="B2183:B2185"/>
    <mergeCell ref="C2183:F2184"/>
    <mergeCell ref="G2183:G2185"/>
    <mergeCell ref="H2183:H2185"/>
    <mergeCell ref="B2187:H2187"/>
    <mergeCell ref="B2194:H2194"/>
    <mergeCell ref="B2198:H2198"/>
    <mergeCell ref="B2204:H2204"/>
    <mergeCell ref="A2210:H2210"/>
    <mergeCell ref="A2217:H2217"/>
    <mergeCell ref="A2218:H2218"/>
    <mergeCell ref="A2227:H2227"/>
    <mergeCell ref="A2229:A2231"/>
    <mergeCell ref="B2229:B2231"/>
    <mergeCell ref="C2229:F2230"/>
    <mergeCell ref="G2229:G2231"/>
    <mergeCell ref="H2229:H2231"/>
    <mergeCell ref="B2233:H2233"/>
    <mergeCell ref="B2240:H2240"/>
    <mergeCell ref="B2244:H2244"/>
    <mergeCell ref="B2250:H2250"/>
    <mergeCell ref="A2256:H2256"/>
    <mergeCell ref="A2263:H2263"/>
    <mergeCell ref="A2264:H2264"/>
    <mergeCell ref="A2273:H2273"/>
    <mergeCell ref="A2275:A2277"/>
    <mergeCell ref="B2275:B2277"/>
    <mergeCell ref="C2275:F2276"/>
    <mergeCell ref="G2275:G2277"/>
    <mergeCell ref="H2275:H2277"/>
    <mergeCell ref="B2279:H2279"/>
    <mergeCell ref="B2286:H2286"/>
    <mergeCell ref="B2290:H2290"/>
    <mergeCell ref="B2296:H2296"/>
    <mergeCell ref="A2302:H2302"/>
    <mergeCell ref="A2309:H2309"/>
    <mergeCell ref="A2310:H2310"/>
    <mergeCell ref="A2319:H2319"/>
    <mergeCell ref="A2321:A2323"/>
    <mergeCell ref="B2321:B2323"/>
    <mergeCell ref="C2321:F2322"/>
    <mergeCell ref="G2321:G2323"/>
    <mergeCell ref="H2321:H2323"/>
    <mergeCell ref="B2325:H2325"/>
    <mergeCell ref="B2332:H2332"/>
    <mergeCell ref="B2336:H2336"/>
    <mergeCell ref="B2342:H2342"/>
    <mergeCell ref="A2348:H2348"/>
    <mergeCell ref="A2355:H2355"/>
    <mergeCell ref="A2356:H2356"/>
    <mergeCell ref="A2365:H2365"/>
    <mergeCell ref="A2367:A2369"/>
    <mergeCell ref="B2367:B2369"/>
    <mergeCell ref="C2367:F2368"/>
    <mergeCell ref="G2367:G2369"/>
    <mergeCell ref="H2367:H2369"/>
    <mergeCell ref="B2371:H2371"/>
    <mergeCell ref="B2378:H2378"/>
    <mergeCell ref="B2382:H2382"/>
    <mergeCell ref="B2388:H2388"/>
    <mergeCell ref="A2394:H2394"/>
    <mergeCell ref="A2401:H2401"/>
    <mergeCell ref="A2402:H2402"/>
    <mergeCell ref="A2411:H2411"/>
    <mergeCell ref="A2413:A2415"/>
    <mergeCell ref="B2413:B2415"/>
    <mergeCell ref="C2413:F2414"/>
    <mergeCell ref="G2413:G2415"/>
    <mergeCell ref="H2413:H2415"/>
    <mergeCell ref="B2417:H2417"/>
    <mergeCell ref="B2424:H2424"/>
    <mergeCell ref="B2428:H2428"/>
    <mergeCell ref="B2434:H2434"/>
    <mergeCell ref="A2440:H2440"/>
    <mergeCell ref="A2447:H2447"/>
    <mergeCell ref="A2448:H2448"/>
    <mergeCell ref="A2457:H2457"/>
    <mergeCell ref="A2459:A2461"/>
    <mergeCell ref="B2459:B2461"/>
    <mergeCell ref="C2459:F2460"/>
    <mergeCell ref="G2459:G2461"/>
    <mergeCell ref="H2459:H2461"/>
    <mergeCell ref="B2463:H2463"/>
    <mergeCell ref="B2470:H2470"/>
    <mergeCell ref="B2474:H2474"/>
    <mergeCell ref="B2480:H2480"/>
    <mergeCell ref="A2486:H2486"/>
    <mergeCell ref="A2493:H2493"/>
    <mergeCell ref="A2494:H2494"/>
    <mergeCell ref="A2503:H2503"/>
    <mergeCell ref="A2505:A2507"/>
    <mergeCell ref="B2505:B2507"/>
    <mergeCell ref="C2505:F2506"/>
    <mergeCell ref="G2505:G2507"/>
    <mergeCell ref="H2505:H2507"/>
    <mergeCell ref="B2509:H2509"/>
    <mergeCell ref="B2516:H2516"/>
    <mergeCell ref="B2520:H2520"/>
    <mergeCell ref="B2526:H2526"/>
    <mergeCell ref="A2532:H2532"/>
    <mergeCell ref="A2539:H2539"/>
    <mergeCell ref="A2540:H2540"/>
    <mergeCell ref="A2549:H2549"/>
    <mergeCell ref="A2551:A2553"/>
    <mergeCell ref="B2551:B2553"/>
    <mergeCell ref="C2551:F2552"/>
    <mergeCell ref="G2551:G2553"/>
    <mergeCell ref="H2551:H2553"/>
    <mergeCell ref="B2555:H2555"/>
    <mergeCell ref="B2562:H2562"/>
    <mergeCell ref="B2566:H2566"/>
    <mergeCell ref="B2572:H2572"/>
    <mergeCell ref="A2578:H2578"/>
    <mergeCell ref="A2585:H2585"/>
    <mergeCell ref="A2586:H2586"/>
    <mergeCell ref="A2595:H2595"/>
    <mergeCell ref="A2597:A2599"/>
    <mergeCell ref="B2597:B2599"/>
    <mergeCell ref="C2597:F2598"/>
    <mergeCell ref="G2597:G2599"/>
    <mergeCell ref="H2597:H2599"/>
    <mergeCell ref="B2601:H2601"/>
    <mergeCell ref="B2608:H2608"/>
    <mergeCell ref="B2612:H2612"/>
    <mergeCell ref="B2618:H2618"/>
    <mergeCell ref="A2624:H2624"/>
    <mergeCell ref="A2631:H2631"/>
    <mergeCell ref="A2632:H2632"/>
    <mergeCell ref="A2641:H2641"/>
    <mergeCell ref="A2643:A2645"/>
    <mergeCell ref="B2643:B2645"/>
    <mergeCell ref="C2643:F2644"/>
    <mergeCell ref="G2643:G2645"/>
    <mergeCell ref="H2643:H2645"/>
    <mergeCell ref="B2647:H2647"/>
    <mergeCell ref="B2654:H2654"/>
    <mergeCell ref="B2658:H2658"/>
    <mergeCell ref="B2664:H2664"/>
    <mergeCell ref="A2670:H2670"/>
    <mergeCell ref="A2677:H2677"/>
    <mergeCell ref="A2678:H2678"/>
    <mergeCell ref="A2687:H2687"/>
    <mergeCell ref="A2689:A2691"/>
    <mergeCell ref="B2689:B2691"/>
    <mergeCell ref="C2689:F2690"/>
    <mergeCell ref="G2689:G2691"/>
    <mergeCell ref="H2689:H2691"/>
    <mergeCell ref="B2693:H2693"/>
    <mergeCell ref="B2700:H2700"/>
    <mergeCell ref="B2704:H2704"/>
    <mergeCell ref="B2710:H2710"/>
    <mergeCell ref="A2716:H2716"/>
    <mergeCell ref="A2723:H2723"/>
    <mergeCell ref="A2724:H2724"/>
    <mergeCell ref="A2733:H2733"/>
    <mergeCell ref="A2735:A2737"/>
    <mergeCell ref="B2735:B2737"/>
    <mergeCell ref="C2735:F2736"/>
    <mergeCell ref="G2735:G2737"/>
    <mergeCell ref="H2735:H2737"/>
    <mergeCell ref="B2739:H2739"/>
    <mergeCell ref="B2746:H2746"/>
    <mergeCell ref="B2750:H2750"/>
    <mergeCell ref="B2756:H2756"/>
    <mergeCell ref="A2762:H2762"/>
    <mergeCell ref="A2769:H2769"/>
    <mergeCell ref="A2770:H2770"/>
    <mergeCell ref="A2779:H2779"/>
    <mergeCell ref="A2781:A2783"/>
    <mergeCell ref="B2781:B2783"/>
    <mergeCell ref="C2781:F2782"/>
    <mergeCell ref="G2781:G2783"/>
    <mergeCell ref="H2781:H2783"/>
    <mergeCell ref="B2785:H2785"/>
    <mergeCell ref="B2792:H2792"/>
    <mergeCell ref="B2796:H2796"/>
    <mergeCell ref="B2802:H2802"/>
    <mergeCell ref="A2808:H2808"/>
    <mergeCell ref="A2815:H2815"/>
    <mergeCell ref="A2816:H2816"/>
    <mergeCell ref="A2825:H2825"/>
    <mergeCell ref="A2827:A2829"/>
    <mergeCell ref="B2827:B2829"/>
    <mergeCell ref="C2827:F2828"/>
    <mergeCell ref="G2827:G2829"/>
    <mergeCell ref="H2827:H2829"/>
    <mergeCell ref="B2831:H2831"/>
    <mergeCell ref="B2838:H2838"/>
    <mergeCell ref="B2842:H2842"/>
    <mergeCell ref="B2848:H2848"/>
    <mergeCell ref="A2854:H2854"/>
    <mergeCell ref="A2861:H2861"/>
    <mergeCell ref="A2862:H2862"/>
    <mergeCell ref="A2871:H2871"/>
    <mergeCell ref="A2873:A2875"/>
    <mergeCell ref="B2873:B2875"/>
    <mergeCell ref="C2873:F2874"/>
    <mergeCell ref="G2873:G2875"/>
    <mergeCell ref="H2873:H2875"/>
    <mergeCell ref="B2877:H2877"/>
    <mergeCell ref="B2884:H2884"/>
    <mergeCell ref="B2888:H2888"/>
    <mergeCell ref="B2894:H2894"/>
    <mergeCell ref="A2900:H2900"/>
    <mergeCell ref="A2907:H2907"/>
    <mergeCell ref="A2908:H2908"/>
    <mergeCell ref="A2917:H2917"/>
    <mergeCell ref="A2919:A2921"/>
    <mergeCell ref="B2919:B2921"/>
    <mergeCell ref="C2919:F2920"/>
    <mergeCell ref="G2919:G2921"/>
    <mergeCell ref="H2919:H2921"/>
    <mergeCell ref="B2923:H2923"/>
    <mergeCell ref="B2930:H2930"/>
    <mergeCell ref="B2934:H2934"/>
    <mergeCell ref="B2940:H2940"/>
    <mergeCell ref="A2946:H2946"/>
    <mergeCell ref="A2953:H2953"/>
    <mergeCell ref="A2954:H2954"/>
    <mergeCell ref="A2963:H2963"/>
    <mergeCell ref="A2965:A2967"/>
    <mergeCell ref="B2965:B2967"/>
    <mergeCell ref="C2965:F2966"/>
    <mergeCell ref="G2965:G2967"/>
    <mergeCell ref="H2965:H2967"/>
    <mergeCell ref="B2969:H2969"/>
    <mergeCell ref="B2976:H2976"/>
    <mergeCell ref="B2980:H2980"/>
    <mergeCell ref="B2986:H2986"/>
    <mergeCell ref="A2992:H2992"/>
    <mergeCell ref="A2999:H2999"/>
    <mergeCell ref="A3000:H3000"/>
    <mergeCell ref="A3009:H3009"/>
    <mergeCell ref="A3011:A3013"/>
    <mergeCell ref="B3011:B3013"/>
    <mergeCell ref="C3011:F3012"/>
    <mergeCell ref="G3011:G3013"/>
    <mergeCell ref="H3011:H3013"/>
    <mergeCell ref="B3015:H3015"/>
    <mergeCell ref="B3022:H3022"/>
    <mergeCell ref="B3026:H3026"/>
    <mergeCell ref="B3032:H3032"/>
    <mergeCell ref="A3038:H3038"/>
    <mergeCell ref="A3045:H3045"/>
    <mergeCell ref="A3046:H3046"/>
    <mergeCell ref="A3055:H3055"/>
    <mergeCell ref="A3057:A3059"/>
    <mergeCell ref="B3057:B3059"/>
    <mergeCell ref="C3057:F3058"/>
    <mergeCell ref="G3057:G3059"/>
    <mergeCell ref="H3057:H3059"/>
    <mergeCell ref="B3061:H3061"/>
    <mergeCell ref="B3068:H3068"/>
    <mergeCell ref="B3072:H3072"/>
    <mergeCell ref="B3078:H3078"/>
    <mergeCell ref="A3084:H3084"/>
    <mergeCell ref="A3091:H3091"/>
    <mergeCell ref="A3092:H3092"/>
    <mergeCell ref="A3101:H3101"/>
    <mergeCell ref="A3103:A3105"/>
    <mergeCell ref="B3103:B3105"/>
    <mergeCell ref="C3103:F3104"/>
    <mergeCell ref="G3103:G3105"/>
    <mergeCell ref="H3103:H3105"/>
    <mergeCell ref="B3107:H3107"/>
    <mergeCell ref="B3114:H3114"/>
    <mergeCell ref="B3118:H3118"/>
    <mergeCell ref="B3124:H3124"/>
    <mergeCell ref="A3130:H3130"/>
    <mergeCell ref="A3137:H3137"/>
    <mergeCell ref="A3138:H3138"/>
    <mergeCell ref="A3147:H3147"/>
    <mergeCell ref="A3149:A3151"/>
    <mergeCell ref="B3149:B3151"/>
    <mergeCell ref="C3149:F3150"/>
    <mergeCell ref="G3149:G3151"/>
    <mergeCell ref="H3149:H3151"/>
    <mergeCell ref="B3153:H3153"/>
    <mergeCell ref="B3160:H3160"/>
    <mergeCell ref="B3164:H3164"/>
    <mergeCell ref="B3170:H3170"/>
    <mergeCell ref="A3176:H3176"/>
    <mergeCell ref="A3183:H3183"/>
    <mergeCell ref="A3184:H3184"/>
    <mergeCell ref="A3193:H3193"/>
    <mergeCell ref="A3195:A3197"/>
    <mergeCell ref="B3195:B3197"/>
    <mergeCell ref="C3195:F3196"/>
    <mergeCell ref="G3195:G3197"/>
    <mergeCell ref="H3195:H3197"/>
    <mergeCell ref="B3199:H3199"/>
    <mergeCell ref="B3206:H3206"/>
    <mergeCell ref="B3210:H3210"/>
    <mergeCell ref="B3216:H3216"/>
    <mergeCell ref="A3222:H3222"/>
    <mergeCell ref="A3229:H3229"/>
    <mergeCell ref="A3230:H3230"/>
    <mergeCell ref="A3239:H3239"/>
    <mergeCell ref="A3241:A3243"/>
    <mergeCell ref="B3241:B3243"/>
    <mergeCell ref="C3241:F3242"/>
    <mergeCell ref="G3241:G3243"/>
    <mergeCell ref="H3241:H3243"/>
    <mergeCell ref="B3245:H3245"/>
    <mergeCell ref="B3252:H3252"/>
    <mergeCell ref="B3256:H3256"/>
    <mergeCell ref="A3275:H3275"/>
    <mergeCell ref="A3276:H3276"/>
    <mergeCell ref="A3285:H3285"/>
    <mergeCell ref="B3262:H3262"/>
    <mergeCell ref="B3308:H3308"/>
    <mergeCell ref="A3314:H3314"/>
    <mergeCell ref="H3287:H3289"/>
    <mergeCell ref="B3291:H3291"/>
    <mergeCell ref="B3298:H3298"/>
    <mergeCell ref="B3302:H3302"/>
    <mergeCell ref="A3287:A3289"/>
    <mergeCell ref="B3287:B3289"/>
    <mergeCell ref="C3287:F3288"/>
    <mergeCell ref="G3287:G3289"/>
  </mergeCells>
  <printOptions/>
  <pageMargins left="0.59375" right="0.27708333333333335" top="0.1798611111111111" bottom="0.1701388888888889" header="0.5118055555555555" footer="0.511805555555555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P38"/>
  <sheetViews>
    <sheetView view="pageBreakPreview" zoomScaleNormal="66" zoomScaleSheetLayoutView="100" workbookViewId="0" topLeftCell="A1">
      <selection activeCell="A1" sqref="A1"/>
    </sheetView>
  </sheetViews>
  <sheetFormatPr defaultColWidth="9.00390625" defaultRowHeight="15.75"/>
  <cols>
    <col min="1" max="1" width="17.75390625" style="2" customWidth="1"/>
    <col min="2" max="2" width="57.375" style="2" customWidth="1"/>
    <col min="3" max="3" width="22.875" style="2" customWidth="1"/>
    <col min="4" max="16384" width="9.00390625" style="2" customWidth="1"/>
  </cols>
  <sheetData>
    <row r="2" ht="15.75">
      <c r="C2" s="6" t="s">
        <v>334</v>
      </c>
    </row>
    <row r="3" ht="15.75">
      <c r="C3" s="6" t="s">
        <v>114</v>
      </c>
    </row>
    <row r="4" ht="15.75">
      <c r="C4" s="6" t="s">
        <v>115</v>
      </c>
    </row>
    <row r="5" ht="15.75">
      <c r="C5" s="6"/>
    </row>
    <row r="6" spans="1:16" ht="42.75" customHeight="1">
      <c r="A6" s="625" t="s">
        <v>335</v>
      </c>
      <c r="B6" s="625"/>
      <c r="C6" s="625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ht="15.75">
      <c r="C7" s="6"/>
    </row>
    <row r="8" ht="15.75">
      <c r="C8" s="6" t="s">
        <v>562</v>
      </c>
    </row>
    <row r="9" ht="15.75">
      <c r="C9" s="6" t="s">
        <v>241</v>
      </c>
    </row>
    <row r="10" ht="15.75">
      <c r="C10" s="6" t="s">
        <v>770</v>
      </c>
    </row>
    <row r="11" ht="15.75">
      <c r="C11" s="361" t="s">
        <v>118</v>
      </c>
    </row>
    <row r="12" ht="15.75">
      <c r="C12" s="6" t="s">
        <v>772</v>
      </c>
    </row>
    <row r="13" ht="15.75">
      <c r="C13" s="6" t="s">
        <v>567</v>
      </c>
    </row>
    <row r="16" spans="1:3" ht="15.75">
      <c r="A16" s="394" t="s">
        <v>568</v>
      </c>
      <c r="B16" s="395" t="s">
        <v>336</v>
      </c>
      <c r="C16" s="396" t="s">
        <v>337</v>
      </c>
    </row>
    <row r="17" spans="1:3" ht="15.75">
      <c r="A17" s="393">
        <v>1</v>
      </c>
      <c r="B17" s="397" t="s">
        <v>128</v>
      </c>
      <c r="C17" s="398"/>
    </row>
    <row r="18" spans="1:3" ht="15.75">
      <c r="A18" s="376" t="s">
        <v>594</v>
      </c>
      <c r="B18" s="377" t="s">
        <v>129</v>
      </c>
      <c r="C18" s="166" t="s">
        <v>338</v>
      </c>
    </row>
    <row r="19" spans="1:3" ht="15.75">
      <c r="A19" s="376" t="s">
        <v>735</v>
      </c>
      <c r="B19" s="377" t="s">
        <v>131</v>
      </c>
      <c r="C19" s="166" t="s">
        <v>338</v>
      </c>
    </row>
    <row r="20" spans="1:3" ht="15.75">
      <c r="A20" s="376" t="s">
        <v>737</v>
      </c>
      <c r="B20" s="382" t="s">
        <v>339</v>
      </c>
      <c r="C20" s="166" t="s">
        <v>338</v>
      </c>
    </row>
    <row r="21" spans="1:3" ht="31.5">
      <c r="A21" s="376" t="s">
        <v>739</v>
      </c>
      <c r="B21" s="382" t="s">
        <v>133</v>
      </c>
      <c r="C21" s="166" t="s">
        <v>338</v>
      </c>
    </row>
    <row r="22" spans="1:3" ht="15.75">
      <c r="A22" s="376" t="s">
        <v>852</v>
      </c>
      <c r="B22" s="382" t="s">
        <v>134</v>
      </c>
      <c r="C22" s="166" t="s">
        <v>338</v>
      </c>
    </row>
    <row r="23" spans="1:3" ht="15.75">
      <c r="A23" s="376" t="s">
        <v>853</v>
      </c>
      <c r="B23" s="382" t="s">
        <v>135</v>
      </c>
      <c r="C23" s="166" t="s">
        <v>340</v>
      </c>
    </row>
    <row r="24" spans="1:3" ht="15.75">
      <c r="A24" s="376">
        <v>2</v>
      </c>
      <c r="B24" s="399" t="s">
        <v>136</v>
      </c>
      <c r="C24" s="400"/>
    </row>
    <row r="25" spans="1:3" ht="15.75">
      <c r="A25" s="376" t="s">
        <v>743</v>
      </c>
      <c r="B25" s="382" t="s">
        <v>137</v>
      </c>
      <c r="C25" s="166" t="s">
        <v>338</v>
      </c>
    </row>
    <row r="26" spans="1:3" ht="31.5">
      <c r="A26" s="376" t="s">
        <v>746</v>
      </c>
      <c r="B26" s="382" t="s">
        <v>140</v>
      </c>
      <c r="C26" s="166" t="s">
        <v>338</v>
      </c>
    </row>
    <row r="27" spans="1:3" ht="15.75">
      <c r="A27" s="376" t="s">
        <v>141</v>
      </c>
      <c r="B27" s="382" t="s">
        <v>142</v>
      </c>
      <c r="C27" s="166" t="s">
        <v>338</v>
      </c>
    </row>
    <row r="28" spans="1:3" ht="31.5">
      <c r="A28" s="376">
        <v>3</v>
      </c>
      <c r="B28" s="399" t="s">
        <v>143</v>
      </c>
      <c r="C28" s="400"/>
    </row>
    <row r="29" spans="1:3" ht="30.75" customHeight="1">
      <c r="A29" s="376" t="s">
        <v>756</v>
      </c>
      <c r="B29" s="382" t="s">
        <v>144</v>
      </c>
      <c r="C29" s="166" t="s">
        <v>340</v>
      </c>
    </row>
    <row r="30" spans="1:3" ht="15.75">
      <c r="A30" s="376" t="s">
        <v>757</v>
      </c>
      <c r="B30" s="382" t="s">
        <v>145</v>
      </c>
      <c r="C30" s="166" t="s">
        <v>338</v>
      </c>
    </row>
    <row r="31" spans="1:3" ht="15.75">
      <c r="A31" s="376" t="s">
        <v>147</v>
      </c>
      <c r="B31" s="382" t="s">
        <v>148</v>
      </c>
      <c r="C31" s="166" t="s">
        <v>340</v>
      </c>
    </row>
    <row r="32" spans="1:3" ht="15.75">
      <c r="A32" s="376" t="s">
        <v>151</v>
      </c>
      <c r="B32" s="382" t="s">
        <v>152</v>
      </c>
      <c r="C32" s="166" t="s">
        <v>340</v>
      </c>
    </row>
    <row r="33" spans="1:3" ht="15.75">
      <c r="A33" s="376" t="s">
        <v>155</v>
      </c>
      <c r="B33" s="382" t="s">
        <v>156</v>
      </c>
      <c r="C33" s="166" t="s">
        <v>338</v>
      </c>
    </row>
    <row r="34" spans="1:3" ht="15.75">
      <c r="A34" s="376">
        <v>4</v>
      </c>
      <c r="B34" s="399" t="s">
        <v>159</v>
      </c>
      <c r="C34" s="400"/>
    </row>
    <row r="35" spans="1:3" ht="15.75">
      <c r="A35" s="376" t="s">
        <v>160</v>
      </c>
      <c r="B35" s="382" t="s">
        <v>161</v>
      </c>
      <c r="C35" s="166" t="s">
        <v>340</v>
      </c>
    </row>
    <row r="36" spans="1:3" ht="31.5">
      <c r="A36" s="376" t="s">
        <v>162</v>
      </c>
      <c r="B36" s="382" t="s">
        <v>163</v>
      </c>
      <c r="C36" s="166" t="s">
        <v>338</v>
      </c>
    </row>
    <row r="37" spans="1:3" ht="15.75">
      <c r="A37" s="384" t="s">
        <v>164</v>
      </c>
      <c r="B37" s="385" t="s">
        <v>165</v>
      </c>
      <c r="C37" s="124" t="s">
        <v>338</v>
      </c>
    </row>
    <row r="38" spans="1:3" ht="15.75">
      <c r="A38" s="384" t="s">
        <v>166</v>
      </c>
      <c r="B38" s="385" t="s">
        <v>167</v>
      </c>
      <c r="C38" s="124" t="s">
        <v>338</v>
      </c>
    </row>
  </sheetData>
  <sheetProtection selectLockedCells="1" selectUnlockedCells="1"/>
  <mergeCells count="1">
    <mergeCell ref="A6:C6"/>
  </mergeCells>
  <printOptions/>
  <pageMargins left="0.2" right="0.19027777777777777" top="0.9840277777777777" bottom="0.9840277777777777" header="0.5118055555555555" footer="0.511805555555555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F87"/>
  <sheetViews>
    <sheetView zoomScale="75" zoomScaleNormal="75" workbookViewId="0" topLeftCell="A1">
      <selection activeCell="C13" sqref="C13"/>
    </sheetView>
  </sheetViews>
  <sheetFormatPr defaultColWidth="9.00390625" defaultRowHeight="15.75"/>
  <cols>
    <col min="1" max="1" width="7.625" style="0" customWidth="1"/>
    <col min="2" max="2" width="50.625" style="0" customWidth="1"/>
    <col min="3" max="5" width="14.625" style="0" customWidth="1"/>
    <col min="6" max="6" width="15.125" style="0" customWidth="1"/>
  </cols>
  <sheetData>
    <row r="1" spans="1:6" ht="15.75">
      <c r="A1" s="2"/>
      <c r="B1" s="416"/>
      <c r="C1" s="416"/>
      <c r="D1" s="189"/>
      <c r="E1" s="417"/>
      <c r="F1" s="189"/>
    </row>
    <row r="2" spans="1:6" ht="15.75">
      <c r="A2" s="114"/>
      <c r="B2" s="114"/>
      <c r="C2" s="114"/>
      <c r="D2" s="418"/>
      <c r="E2" s="418"/>
      <c r="F2" s="419" t="s">
        <v>562</v>
      </c>
    </row>
    <row r="3" spans="1:6" ht="15.75">
      <c r="A3" s="2"/>
      <c r="B3" s="2"/>
      <c r="C3" s="2"/>
      <c r="D3" s="418"/>
      <c r="E3" s="418"/>
      <c r="F3" s="419" t="s">
        <v>769</v>
      </c>
    </row>
    <row r="4" spans="1:6" ht="15.75">
      <c r="A4" s="2"/>
      <c r="B4" s="144" t="s">
        <v>379</v>
      </c>
      <c r="C4" s="2"/>
      <c r="D4" s="626" t="s">
        <v>770</v>
      </c>
      <c r="E4" s="626"/>
      <c r="F4" s="626"/>
    </row>
    <row r="5" spans="1:6" ht="15.75">
      <c r="A5" s="2"/>
      <c r="B5" s="144" t="s">
        <v>380</v>
      </c>
      <c r="C5" s="2"/>
      <c r="D5" s="420"/>
      <c r="E5" s="627" t="s">
        <v>771</v>
      </c>
      <c r="F5" s="627"/>
    </row>
    <row r="6" spans="1:6" ht="15.75">
      <c r="A6" s="2"/>
      <c r="B6" s="144" t="s">
        <v>381</v>
      </c>
      <c r="C6" s="2"/>
      <c r="D6" s="418"/>
      <c r="E6" s="418"/>
      <c r="F6" s="419" t="s">
        <v>772</v>
      </c>
    </row>
    <row r="7" spans="1:6" ht="15.75">
      <c r="A7" s="2"/>
      <c r="B7" s="144" t="s">
        <v>382</v>
      </c>
      <c r="C7" s="2"/>
      <c r="D7" s="418"/>
      <c r="E7" s="418"/>
      <c r="F7" s="419" t="s">
        <v>567</v>
      </c>
    </row>
    <row r="8" spans="1:6" ht="15.75">
      <c r="A8" s="2"/>
      <c r="B8" s="144" t="s">
        <v>590</v>
      </c>
      <c r="C8" s="2"/>
      <c r="D8" s="421"/>
      <c r="E8" s="6"/>
      <c r="F8" s="6"/>
    </row>
    <row r="9" spans="1:6" ht="16.5" thickBot="1">
      <c r="A9" s="2"/>
      <c r="B9" s="2"/>
      <c r="C9" s="422">
        <v>173954.52290353685</v>
      </c>
      <c r="D9" s="422">
        <v>218668.0147787542</v>
      </c>
      <c r="E9" s="2"/>
      <c r="F9" s="6"/>
    </row>
    <row r="10" spans="1:6" ht="15.75">
      <c r="A10" s="628" t="s">
        <v>568</v>
      </c>
      <c r="B10" s="630" t="s">
        <v>383</v>
      </c>
      <c r="C10" s="423">
        <v>2017</v>
      </c>
      <c r="D10" s="423">
        <v>2018</v>
      </c>
      <c r="E10" s="423">
        <v>2019</v>
      </c>
      <c r="F10" s="424" t="s">
        <v>583</v>
      </c>
    </row>
    <row r="11" spans="1:6" ht="15.75">
      <c r="A11" s="629"/>
      <c r="B11" s="631"/>
      <c r="C11" s="632"/>
      <c r="D11" s="632"/>
      <c r="E11" s="632"/>
      <c r="F11" s="634"/>
    </row>
    <row r="12" spans="1:6" ht="15.75">
      <c r="A12" s="629"/>
      <c r="B12" s="631"/>
      <c r="C12" s="633"/>
      <c r="D12" s="633"/>
      <c r="E12" s="633"/>
      <c r="F12" s="635"/>
    </row>
    <row r="13" spans="1:6" ht="16.5" thickBot="1">
      <c r="A13" s="425">
        <v>1</v>
      </c>
      <c r="B13" s="426">
        <v>2</v>
      </c>
      <c r="C13" s="426">
        <v>3</v>
      </c>
      <c r="D13" s="426">
        <v>4</v>
      </c>
      <c r="E13" s="427">
        <v>5</v>
      </c>
      <c r="F13" s="428">
        <v>6</v>
      </c>
    </row>
    <row r="14" spans="1:6" ht="31.5">
      <c r="A14" s="429" t="s">
        <v>384</v>
      </c>
      <c r="B14" s="430" t="s">
        <v>385</v>
      </c>
      <c r="C14" s="431">
        <f>C16+C17</f>
        <v>405.99</v>
      </c>
      <c r="D14" s="431">
        <f>D16+D17</f>
        <v>376.81</v>
      </c>
      <c r="E14" s="431">
        <f>E16+E17</f>
        <v>399.69</v>
      </c>
      <c r="F14" s="432">
        <f>SUM(C14:E14)</f>
        <v>1182.49</v>
      </c>
    </row>
    <row r="15" spans="1:6" ht="15.75">
      <c r="A15" s="433"/>
      <c r="B15" s="434" t="s">
        <v>386</v>
      </c>
      <c r="C15" s="435"/>
      <c r="D15" s="435"/>
      <c r="E15" s="435"/>
      <c r="F15" s="436"/>
    </row>
    <row r="16" spans="1:6" ht="31.5">
      <c r="A16" s="433" t="s">
        <v>594</v>
      </c>
      <c r="B16" s="434" t="s">
        <v>387</v>
      </c>
      <c r="C16" s="435">
        <f>ROUND((344.06)*1.18,2)</f>
        <v>405.99</v>
      </c>
      <c r="D16" s="435">
        <f>ROUND((319.33)*1.18,2)</f>
        <v>376.81</v>
      </c>
      <c r="E16" s="435">
        <f>ROUND((338.72)*1.18,2)</f>
        <v>399.69</v>
      </c>
      <c r="F16" s="435">
        <f>SUM(C16:E16)</f>
        <v>1182.49</v>
      </c>
    </row>
    <row r="17" spans="1:6" ht="16.5" thickBot="1">
      <c r="A17" s="437" t="s">
        <v>735</v>
      </c>
      <c r="B17" s="438" t="s">
        <v>388</v>
      </c>
      <c r="C17" s="439">
        <v>0</v>
      </c>
      <c r="D17" s="439">
        <v>0</v>
      </c>
      <c r="E17" s="439">
        <v>0</v>
      </c>
      <c r="F17" s="440">
        <v>0</v>
      </c>
    </row>
    <row r="18" spans="1:6" ht="15.75">
      <c r="A18" s="429" t="s">
        <v>389</v>
      </c>
      <c r="B18" s="430" t="s">
        <v>390</v>
      </c>
      <c r="C18" s="431">
        <f>C19+C24+C25+C26+C27</f>
        <v>308.07</v>
      </c>
      <c r="D18" s="431">
        <f>D19+D24+D25+D26+D27</f>
        <v>324.71000000000004</v>
      </c>
      <c r="E18" s="431">
        <f>E19+E24+E25+E26+E27+E23</f>
        <v>342.59</v>
      </c>
      <c r="F18" s="432">
        <f>SUM(C18:E18)</f>
        <v>975.3699999999999</v>
      </c>
    </row>
    <row r="19" spans="1:6" ht="15.75">
      <c r="A19" s="441" t="s">
        <v>592</v>
      </c>
      <c r="B19" s="442" t="s">
        <v>391</v>
      </c>
      <c r="C19" s="431">
        <f>C21+C22+C23</f>
        <v>25.2</v>
      </c>
      <c r="D19" s="431">
        <f>D21+D22+D23</f>
        <v>26.240000000000002</v>
      </c>
      <c r="E19" s="431">
        <f>E21+E22+E23</f>
        <v>27.15</v>
      </c>
      <c r="F19" s="432">
        <f>SUM(C19:E19)</f>
        <v>78.59</v>
      </c>
    </row>
    <row r="20" spans="1:6" ht="15.75">
      <c r="A20" s="433"/>
      <c r="B20" s="434" t="s">
        <v>386</v>
      </c>
      <c r="C20" s="443"/>
      <c r="D20" s="443"/>
      <c r="E20" s="443"/>
      <c r="F20" s="444"/>
    </row>
    <row r="21" spans="1:6" ht="15.75">
      <c r="A21" s="433" t="s">
        <v>594</v>
      </c>
      <c r="B21" s="434" t="s">
        <v>392</v>
      </c>
      <c r="C21" s="443">
        <f>ROUND(3.77*1.18,2)</f>
        <v>4.45</v>
      </c>
      <c r="D21" s="443">
        <f>ROUND(3.92*1.18,2)</f>
        <v>4.63</v>
      </c>
      <c r="E21" s="443">
        <f>ROUND(4.06*1.18,2)</f>
        <v>4.79</v>
      </c>
      <c r="F21" s="432">
        <f aca="true" t="shared" si="0" ref="F21:F27">SUM(C21:E21)</f>
        <v>13.870000000000001</v>
      </c>
    </row>
    <row r="22" spans="1:6" ht="15.75">
      <c r="A22" s="433" t="s">
        <v>735</v>
      </c>
      <c r="B22" s="434" t="s">
        <v>393</v>
      </c>
      <c r="C22" s="443">
        <f>ROUND(16.36*1.18,2)</f>
        <v>19.3</v>
      </c>
      <c r="D22" s="443">
        <f>ROUND(17.03*1.18,2)</f>
        <v>20.1</v>
      </c>
      <c r="E22" s="443">
        <f>ROUND(17.63*1.18,2)</f>
        <v>20.8</v>
      </c>
      <c r="F22" s="432">
        <f t="shared" si="0"/>
        <v>60.2</v>
      </c>
    </row>
    <row r="23" spans="1:6" ht="15.75">
      <c r="A23" s="433" t="s">
        <v>737</v>
      </c>
      <c r="B23" s="434" t="s">
        <v>394</v>
      </c>
      <c r="C23" s="443">
        <f>ROUND(1.23*1.18,2)</f>
        <v>1.45</v>
      </c>
      <c r="D23" s="443">
        <f>ROUND(1.28*1.18,2)</f>
        <v>1.51</v>
      </c>
      <c r="E23" s="443">
        <f>ROUND(1.32*1.18,2)</f>
        <v>1.56</v>
      </c>
      <c r="F23" s="432">
        <f t="shared" si="0"/>
        <v>4.52</v>
      </c>
    </row>
    <row r="24" spans="1:6" ht="15.75">
      <c r="A24" s="441" t="s">
        <v>741</v>
      </c>
      <c r="B24" s="442" t="s">
        <v>395</v>
      </c>
      <c r="C24" s="435">
        <f>ROUND((121.22+36.73)*1.18,2)</f>
        <v>186.38</v>
      </c>
      <c r="D24" s="435">
        <f>ROUND((126.19+38.24)*1.18,2)</f>
        <v>194.03</v>
      </c>
      <c r="E24" s="435">
        <f>ROUND((130.6+39.57)*1.18,2)</f>
        <v>200.8</v>
      </c>
      <c r="F24" s="432">
        <f t="shared" si="0"/>
        <v>581.21</v>
      </c>
    </row>
    <row r="25" spans="1:6" ht="15.75">
      <c r="A25" s="441" t="s">
        <v>754</v>
      </c>
      <c r="B25" s="442" t="s">
        <v>396</v>
      </c>
      <c r="C25" s="435">
        <f>ROUND(64.89*1.18,2)</f>
        <v>76.57</v>
      </c>
      <c r="D25" s="435">
        <f>ROUND(68.77*1.18,2)</f>
        <v>81.15</v>
      </c>
      <c r="E25" s="435">
        <f>ROUND(72.94*1.18,2)</f>
        <v>86.07</v>
      </c>
      <c r="F25" s="432">
        <f t="shared" si="0"/>
        <v>243.79</v>
      </c>
    </row>
    <row r="26" spans="1:6" ht="15.75">
      <c r="A26" s="441" t="s">
        <v>368</v>
      </c>
      <c r="B26" s="442" t="s">
        <v>397</v>
      </c>
      <c r="C26" s="435">
        <f>ROUND(13.96*1.18,2)</f>
        <v>16.47</v>
      </c>
      <c r="D26" s="435">
        <f>ROUND(16.72*1.18,2)</f>
        <v>19.73</v>
      </c>
      <c r="E26" s="435">
        <f>ROUND(19.77*1.18,2)</f>
        <v>23.33</v>
      </c>
      <c r="F26" s="432">
        <f t="shared" si="0"/>
        <v>59.53</v>
      </c>
    </row>
    <row r="27" spans="1:6" ht="15.75">
      <c r="A27" s="441" t="s">
        <v>369</v>
      </c>
      <c r="B27" s="445" t="s">
        <v>398</v>
      </c>
      <c r="C27" s="435">
        <f>ROUND((153.37-C19-0.61-5.47-121.22+2.05)*1.18,2)</f>
        <v>3.45</v>
      </c>
      <c r="D27" s="435">
        <f>ROUND((159.65-D19-0.63-5.7-126.19+2.13)*1.18,2)</f>
        <v>3.56</v>
      </c>
      <c r="E27" s="435">
        <f>ROUND((165.23-E19-0.66-5.9-130.6+2.2)*1.18,2)</f>
        <v>3.68</v>
      </c>
      <c r="F27" s="432">
        <f t="shared" si="0"/>
        <v>10.69</v>
      </c>
    </row>
    <row r="28" spans="1:6" ht="15.75">
      <c r="A28" s="433"/>
      <c r="B28" s="434" t="s">
        <v>386</v>
      </c>
      <c r="C28" s="443"/>
      <c r="D28" s="443"/>
      <c r="E28" s="443"/>
      <c r="F28" s="444"/>
    </row>
    <row r="29" spans="1:6" ht="15.75">
      <c r="A29" s="433" t="s">
        <v>399</v>
      </c>
      <c r="B29" s="434" t="s">
        <v>400</v>
      </c>
      <c r="C29" s="443">
        <v>0</v>
      </c>
      <c r="D29" s="443">
        <v>0</v>
      </c>
      <c r="E29" s="443">
        <v>0</v>
      </c>
      <c r="F29" s="432">
        <f>SUM(C29:E29)</f>
        <v>0</v>
      </c>
    </row>
    <row r="30" spans="1:6" ht="15.75">
      <c r="A30" s="433" t="s">
        <v>401</v>
      </c>
      <c r="B30" s="434" t="s">
        <v>402</v>
      </c>
      <c r="C30" s="443">
        <v>0</v>
      </c>
      <c r="D30" s="443">
        <v>0</v>
      </c>
      <c r="E30" s="443">
        <v>0</v>
      </c>
      <c r="F30" s="432">
        <f>SUM(C30:E30)</f>
        <v>0</v>
      </c>
    </row>
    <row r="31" spans="1:6" ht="16.5" thickBot="1">
      <c r="A31" s="437" t="s">
        <v>403</v>
      </c>
      <c r="B31" s="438" t="s">
        <v>404</v>
      </c>
      <c r="C31" s="446"/>
      <c r="D31" s="446"/>
      <c r="E31" s="446"/>
      <c r="F31" s="447"/>
    </row>
    <row r="32" spans="1:6" ht="16.5" thickBot="1">
      <c r="A32" s="448" t="s">
        <v>405</v>
      </c>
      <c r="B32" s="449" t="s">
        <v>406</v>
      </c>
      <c r="C32" s="450">
        <f>C14-C18</f>
        <v>97.92000000000002</v>
      </c>
      <c r="D32" s="450">
        <f>D14-D18</f>
        <v>52.099999999999966</v>
      </c>
      <c r="E32" s="450">
        <f>E14-E18</f>
        <v>57.10000000000002</v>
      </c>
      <c r="F32" s="451">
        <f>SUM(C32:E32)</f>
        <v>207.12</v>
      </c>
    </row>
    <row r="33" spans="1:6" ht="15.75">
      <c r="A33" s="452" t="s">
        <v>407</v>
      </c>
      <c r="B33" s="453" t="s">
        <v>408</v>
      </c>
      <c r="C33" s="431">
        <f>C34-C38</f>
        <v>-0.61</v>
      </c>
      <c r="D33" s="431">
        <f>D34-D38</f>
        <v>-0.63</v>
      </c>
      <c r="E33" s="431">
        <f>E34-E38</f>
        <v>-0.66</v>
      </c>
      <c r="F33" s="454">
        <f>SUM(C33:E33)</f>
        <v>-1.9</v>
      </c>
    </row>
    <row r="34" spans="1:6" ht="15.75">
      <c r="A34" s="433" t="s">
        <v>592</v>
      </c>
      <c r="B34" s="434" t="s">
        <v>409</v>
      </c>
      <c r="C34" s="443"/>
      <c r="D34" s="443"/>
      <c r="E34" s="443"/>
      <c r="F34" s="444"/>
    </row>
    <row r="35" spans="1:6" ht="15.75">
      <c r="A35" s="433"/>
      <c r="B35" s="434" t="s">
        <v>410</v>
      </c>
      <c r="C35" s="443"/>
      <c r="D35" s="443"/>
      <c r="E35" s="443"/>
      <c r="F35" s="444"/>
    </row>
    <row r="36" spans="1:6" ht="31.5">
      <c r="A36" s="433" t="s">
        <v>594</v>
      </c>
      <c r="B36" s="434" t="s">
        <v>411</v>
      </c>
      <c r="C36" s="443"/>
      <c r="D36" s="443"/>
      <c r="E36" s="443"/>
      <c r="F36" s="444"/>
    </row>
    <row r="37" spans="1:6" ht="15.75">
      <c r="A37" s="433" t="s">
        <v>735</v>
      </c>
      <c r="B37" s="455" t="s">
        <v>412</v>
      </c>
      <c r="C37" s="443"/>
      <c r="D37" s="443"/>
      <c r="E37" s="443"/>
      <c r="F37" s="444"/>
    </row>
    <row r="38" spans="1:6" ht="15.75">
      <c r="A38" s="433" t="s">
        <v>741</v>
      </c>
      <c r="B38" s="434" t="s">
        <v>413</v>
      </c>
      <c r="C38" s="443">
        <f>ROUND((0.61)*1,2)</f>
        <v>0.61</v>
      </c>
      <c r="D38" s="443">
        <f>ROUND((0.63)*1,2)</f>
        <v>0.63</v>
      </c>
      <c r="E38" s="443">
        <f>ROUND((0.66)*1,2)</f>
        <v>0.66</v>
      </c>
      <c r="F38" s="432">
        <f>SUM(C38:E38)</f>
        <v>1.9</v>
      </c>
    </row>
    <row r="39" spans="1:6" ht="15.75">
      <c r="A39" s="433"/>
      <c r="B39" s="434" t="s">
        <v>410</v>
      </c>
      <c r="C39" s="443"/>
      <c r="D39" s="443"/>
      <c r="E39" s="443"/>
      <c r="F39" s="444"/>
    </row>
    <row r="40" spans="1:6" ht="16.5" thickBot="1">
      <c r="A40" s="437" t="s">
        <v>743</v>
      </c>
      <c r="B40" s="438" t="s">
        <v>414</v>
      </c>
      <c r="C40" s="443">
        <v>0</v>
      </c>
      <c r="D40" s="443">
        <v>0</v>
      </c>
      <c r="E40" s="443">
        <v>0</v>
      </c>
      <c r="F40" s="432">
        <f>SUM(C40:E40)</f>
        <v>0</v>
      </c>
    </row>
    <row r="41" spans="1:6" ht="16.5" thickBot="1">
      <c r="A41" s="456" t="s">
        <v>415</v>
      </c>
      <c r="B41" s="457" t="s">
        <v>416</v>
      </c>
      <c r="C41" s="458">
        <f>C32+C33</f>
        <v>97.31000000000002</v>
      </c>
      <c r="D41" s="458">
        <f>D32+D33</f>
        <v>51.46999999999996</v>
      </c>
      <c r="E41" s="458">
        <f>E32+E33</f>
        <v>56.440000000000026</v>
      </c>
      <c r="F41" s="459">
        <f>SUM(C41:E41)</f>
        <v>205.22</v>
      </c>
    </row>
    <row r="42" spans="1:6" ht="16.5" thickBot="1">
      <c r="A42" s="456" t="s">
        <v>417</v>
      </c>
      <c r="B42" s="457" t="s">
        <v>418</v>
      </c>
      <c r="C42" s="431">
        <v>16.48</v>
      </c>
      <c r="D42" s="431">
        <v>9.66</v>
      </c>
      <c r="E42" s="431">
        <v>18.04</v>
      </c>
      <c r="F42" s="459">
        <f>SUM(C42:E42)</f>
        <v>44.18</v>
      </c>
    </row>
    <row r="43" spans="1:6" ht="16.5" thickBot="1">
      <c r="A43" s="456" t="s">
        <v>419</v>
      </c>
      <c r="B43" s="457" t="s">
        <v>420</v>
      </c>
      <c r="C43" s="458">
        <f>C32-C42+C33</f>
        <v>80.83000000000001</v>
      </c>
      <c r="D43" s="458">
        <f>D32-D42+D33</f>
        <v>41.80999999999997</v>
      </c>
      <c r="E43" s="458">
        <f>E32-E42+E33</f>
        <v>38.40000000000003</v>
      </c>
      <c r="F43" s="459">
        <f>SUM(C43:E43)</f>
        <v>161.04000000000002</v>
      </c>
    </row>
    <row r="44" spans="1:6" ht="15.75">
      <c r="A44" s="452" t="s">
        <v>421</v>
      </c>
      <c r="B44" s="453" t="s">
        <v>422</v>
      </c>
      <c r="C44" s="460">
        <f>C49</f>
        <v>5.47</v>
      </c>
      <c r="D44" s="460">
        <f>D49</f>
        <v>5.7</v>
      </c>
      <c r="E44" s="460">
        <f>E49</f>
        <v>5.9</v>
      </c>
      <c r="F44" s="454">
        <f>SUM(C44:E44)</f>
        <v>17.07</v>
      </c>
    </row>
    <row r="45" spans="1:6" ht="15.75">
      <c r="A45" s="433"/>
      <c r="B45" s="434" t="s">
        <v>386</v>
      </c>
      <c r="C45" s="443"/>
      <c r="D45" s="443"/>
      <c r="E45" s="443"/>
      <c r="F45" s="444"/>
    </row>
    <row r="46" spans="1:6" ht="15.75">
      <c r="A46" s="433" t="s">
        <v>592</v>
      </c>
      <c r="B46" s="434" t="s">
        <v>423</v>
      </c>
      <c r="C46" s="443"/>
      <c r="D46" s="443"/>
      <c r="E46" s="443"/>
      <c r="F46" s="444"/>
    </row>
    <row r="47" spans="1:6" ht="15.75">
      <c r="A47" s="461" t="s">
        <v>741</v>
      </c>
      <c r="B47" s="434" t="s">
        <v>424</v>
      </c>
      <c r="C47" s="443"/>
      <c r="D47" s="443"/>
      <c r="E47" s="443"/>
      <c r="F47" s="444"/>
    </row>
    <row r="48" spans="1:6" ht="15.75">
      <c r="A48" s="433" t="s">
        <v>754</v>
      </c>
      <c r="B48" s="434" t="s">
        <v>425</v>
      </c>
      <c r="C48" s="443"/>
      <c r="D48" s="443"/>
      <c r="E48" s="443"/>
      <c r="F48" s="444"/>
    </row>
    <row r="49" spans="1:6" ht="16.5" thickBot="1">
      <c r="A49" s="437" t="s">
        <v>368</v>
      </c>
      <c r="B49" s="438" t="s">
        <v>426</v>
      </c>
      <c r="C49" s="439">
        <v>5.47</v>
      </c>
      <c r="D49" s="439">
        <v>5.7</v>
      </c>
      <c r="E49" s="439">
        <v>5.9</v>
      </c>
      <c r="F49" s="439">
        <f>F43</f>
        <v>161.04000000000002</v>
      </c>
    </row>
    <row r="50" spans="1:6" ht="15.75">
      <c r="A50" s="452" t="s">
        <v>427</v>
      </c>
      <c r="B50" s="453" t="s">
        <v>428</v>
      </c>
      <c r="C50" s="460"/>
      <c r="D50" s="460"/>
      <c r="E50" s="460"/>
      <c r="F50" s="454"/>
    </row>
    <row r="51" spans="1:6" ht="15.75">
      <c r="A51" s="433" t="s">
        <v>592</v>
      </c>
      <c r="B51" s="462" t="s">
        <v>429</v>
      </c>
      <c r="C51" s="443"/>
      <c r="D51" s="443"/>
      <c r="E51" s="443"/>
      <c r="F51" s="444"/>
    </row>
    <row r="52" spans="1:6" ht="15.75">
      <c r="A52" s="433" t="s">
        <v>741</v>
      </c>
      <c r="B52" s="434" t="s">
        <v>430</v>
      </c>
      <c r="C52" s="443"/>
      <c r="D52" s="443"/>
      <c r="E52" s="443"/>
      <c r="F52" s="444"/>
    </row>
    <row r="53" spans="1:6" ht="16.5" thickBot="1">
      <c r="A53" s="437"/>
      <c r="B53" s="438" t="s">
        <v>431</v>
      </c>
      <c r="C53" s="446"/>
      <c r="D53" s="446"/>
      <c r="E53" s="446"/>
      <c r="F53" s="447"/>
    </row>
    <row r="54" spans="1:6" ht="15.75">
      <c r="A54" s="452" t="s">
        <v>432</v>
      </c>
      <c r="B54" s="453" t="s">
        <v>433</v>
      </c>
      <c r="C54" s="460"/>
      <c r="D54" s="460"/>
      <c r="E54" s="460"/>
      <c r="F54" s="454"/>
    </row>
    <row r="55" spans="1:6" ht="15.75">
      <c r="A55" s="433" t="s">
        <v>592</v>
      </c>
      <c r="B55" s="462" t="s">
        <v>434</v>
      </c>
      <c r="C55" s="443"/>
      <c r="D55" s="443"/>
      <c r="E55" s="443"/>
      <c r="F55" s="444"/>
    </row>
    <row r="56" spans="1:6" ht="15.75">
      <c r="A56" s="433" t="s">
        <v>741</v>
      </c>
      <c r="B56" s="434" t="s">
        <v>435</v>
      </c>
      <c r="C56" s="443"/>
      <c r="D56" s="443"/>
      <c r="E56" s="443"/>
      <c r="F56" s="444"/>
    </row>
    <row r="57" spans="1:6" ht="16.5" thickBot="1">
      <c r="A57" s="437"/>
      <c r="B57" s="438" t="s">
        <v>431</v>
      </c>
      <c r="C57" s="446"/>
      <c r="D57" s="446"/>
      <c r="E57" s="446"/>
      <c r="F57" s="447"/>
    </row>
    <row r="58" spans="1:6" ht="15.75">
      <c r="A58" s="452" t="s">
        <v>436</v>
      </c>
      <c r="B58" s="453" t="s">
        <v>437</v>
      </c>
      <c r="C58" s="460">
        <f>C60</f>
        <v>0</v>
      </c>
      <c r="D58" s="460">
        <f>D60</f>
        <v>0</v>
      </c>
      <c r="E58" s="460">
        <f>E60</f>
        <v>0</v>
      </c>
      <c r="F58" s="454">
        <f>SUM(C58:E58)</f>
        <v>0</v>
      </c>
    </row>
    <row r="59" spans="1:6" ht="15.75">
      <c r="A59" s="441"/>
      <c r="B59" s="434" t="s">
        <v>438</v>
      </c>
      <c r="C59" s="443"/>
      <c r="D59" s="443"/>
      <c r="E59" s="443"/>
      <c r="F59" s="444"/>
    </row>
    <row r="60" spans="1:6" ht="15.75">
      <c r="A60" s="433" t="s">
        <v>592</v>
      </c>
      <c r="B60" s="434" t="s">
        <v>439</v>
      </c>
      <c r="C60" s="443"/>
      <c r="D60" s="443"/>
      <c r="E60" s="443"/>
      <c r="F60" s="444"/>
    </row>
    <row r="61" spans="1:6" ht="15.75">
      <c r="A61" s="433" t="s">
        <v>594</v>
      </c>
      <c r="B61" s="434" t="s">
        <v>440</v>
      </c>
      <c r="C61" s="435"/>
      <c r="D61" s="435"/>
      <c r="E61" s="435"/>
      <c r="F61" s="436"/>
    </row>
    <row r="62" spans="1:6" ht="16.5" thickBot="1">
      <c r="A62" s="437" t="s">
        <v>741</v>
      </c>
      <c r="B62" s="438" t="s">
        <v>441</v>
      </c>
      <c r="C62" s="439"/>
      <c r="D62" s="439"/>
      <c r="E62" s="439"/>
      <c r="F62" s="440"/>
    </row>
    <row r="63" spans="1:6" ht="15.75">
      <c r="A63" s="452" t="s">
        <v>442</v>
      </c>
      <c r="B63" s="453" t="s">
        <v>443</v>
      </c>
      <c r="C63" s="463">
        <f>C65</f>
        <v>0</v>
      </c>
      <c r="D63" s="463">
        <f>D65</f>
        <v>0</v>
      </c>
      <c r="E63" s="463">
        <f>E65</f>
        <v>0</v>
      </c>
      <c r="F63" s="464">
        <f>C63+D63+E63</f>
        <v>0</v>
      </c>
    </row>
    <row r="64" spans="1:6" ht="15.75">
      <c r="A64" s="441"/>
      <c r="B64" s="434" t="s">
        <v>444</v>
      </c>
      <c r="C64" s="443"/>
      <c r="D64" s="443"/>
      <c r="E64" s="443"/>
      <c r="F64" s="444"/>
    </row>
    <row r="65" spans="1:6" ht="15.75">
      <c r="A65" s="433" t="s">
        <v>592</v>
      </c>
      <c r="B65" s="434" t="s">
        <v>445</v>
      </c>
      <c r="C65" s="435"/>
      <c r="D65" s="435"/>
      <c r="E65" s="435"/>
      <c r="F65" s="436"/>
    </row>
    <row r="66" spans="1:6" ht="15.75">
      <c r="A66" s="433" t="s">
        <v>594</v>
      </c>
      <c r="B66" s="434" t="s">
        <v>440</v>
      </c>
      <c r="C66" s="435"/>
      <c r="D66" s="435"/>
      <c r="E66" s="435"/>
      <c r="F66" s="436"/>
    </row>
    <row r="67" spans="1:6" ht="16.5" thickBot="1">
      <c r="A67" s="437" t="s">
        <v>741</v>
      </c>
      <c r="B67" s="438" t="s">
        <v>441</v>
      </c>
      <c r="C67" s="439"/>
      <c r="D67" s="439"/>
      <c r="E67" s="439"/>
      <c r="F67" s="440"/>
    </row>
    <row r="68" spans="1:6" ht="16.5" thickBot="1">
      <c r="A68" s="465" t="s">
        <v>446</v>
      </c>
      <c r="B68" s="466" t="s">
        <v>447</v>
      </c>
      <c r="C68" s="467">
        <f>'[2]приложение 4.2'!C25</f>
        <v>76.57</v>
      </c>
      <c r="D68" s="467">
        <f>'[2]приложение 4.2'!D25</f>
        <v>81.15</v>
      </c>
      <c r="E68" s="467">
        <f>'[2]приложение 4.2'!E25</f>
        <v>86.07</v>
      </c>
      <c r="F68" s="454">
        <f>C68+D68+E68</f>
        <v>243.79</v>
      </c>
    </row>
    <row r="69" spans="1:6" ht="15.75">
      <c r="A69" s="452" t="s">
        <v>448</v>
      </c>
      <c r="B69" s="453" t="s">
        <v>449</v>
      </c>
      <c r="C69" s="460"/>
      <c r="D69" s="460"/>
      <c r="E69" s="460"/>
      <c r="F69" s="454"/>
    </row>
    <row r="70" spans="1:6" ht="15.75">
      <c r="A70" s="433" t="s">
        <v>592</v>
      </c>
      <c r="B70" s="434" t="s">
        <v>450</v>
      </c>
      <c r="C70" s="443"/>
      <c r="D70" s="443"/>
      <c r="E70" s="443"/>
      <c r="F70" s="444"/>
    </row>
    <row r="71" spans="1:6" ht="16.5" thickBot="1">
      <c r="A71" s="437" t="s">
        <v>741</v>
      </c>
      <c r="B71" s="438" t="s">
        <v>451</v>
      </c>
      <c r="C71" s="446"/>
      <c r="D71" s="446"/>
      <c r="E71" s="446"/>
      <c r="F71" s="447"/>
    </row>
    <row r="72" spans="1:6" ht="16.5" thickBot="1">
      <c r="A72" s="456" t="s">
        <v>452</v>
      </c>
      <c r="B72" s="457" t="s">
        <v>453</v>
      </c>
      <c r="C72" s="468"/>
      <c r="D72" s="468"/>
      <c r="E72" s="468"/>
      <c r="F72" s="469"/>
    </row>
    <row r="73" spans="1:6" ht="15.75">
      <c r="A73" s="429" t="s">
        <v>454</v>
      </c>
      <c r="B73" s="430" t="s">
        <v>455</v>
      </c>
      <c r="C73" s="431">
        <v>97.1</v>
      </c>
      <c r="D73" s="431">
        <f>'[2]приложение 4.2'!D37</f>
        <v>0</v>
      </c>
      <c r="E73" s="431">
        <f>'[2]приложение 4.2'!E37</f>
        <v>0</v>
      </c>
      <c r="F73" s="432">
        <f>SUM(C73:E73)</f>
        <v>97.1</v>
      </c>
    </row>
    <row r="74" spans="1:6" ht="16.5" thickBot="1">
      <c r="A74" s="470"/>
      <c r="B74" s="471" t="s">
        <v>440</v>
      </c>
      <c r="C74" s="472"/>
      <c r="D74" s="472"/>
      <c r="E74" s="472"/>
      <c r="F74" s="473"/>
    </row>
    <row r="75" spans="1:6" ht="48" thickBot="1">
      <c r="A75" s="456" t="s">
        <v>454</v>
      </c>
      <c r="B75" s="474" t="s">
        <v>456</v>
      </c>
      <c r="C75" s="468">
        <f>C14+C34+C51+C55+C58+C68+C71+C72</f>
        <v>482.56</v>
      </c>
      <c r="D75" s="468">
        <f>D14+D34+D51+D55+D58+D68+D71+D72</f>
        <v>457.96000000000004</v>
      </c>
      <c r="E75" s="468">
        <f>E14+E34+E51+E55+E58+E68+E71+E72</f>
        <v>485.76</v>
      </c>
      <c r="F75" s="469">
        <f>SUM(C75:E75)</f>
        <v>1426.28</v>
      </c>
    </row>
    <row r="76" spans="1:6" ht="47.25">
      <c r="A76" s="452" t="s">
        <v>457</v>
      </c>
      <c r="B76" s="475" t="s">
        <v>458</v>
      </c>
      <c r="C76" s="463">
        <f>C18-C25+C38+C51+C56+C42+C44+C63+C70+C73</f>
        <v>351.15999999999997</v>
      </c>
      <c r="D76" s="463">
        <f>D18-D25+D38+D51+D56+D42+D44+D63+D70+D73</f>
        <v>259.55</v>
      </c>
      <c r="E76" s="463">
        <f>E18-E25+E38+E51+E56+E42+E44+E63+E70+E73</f>
        <v>281.12</v>
      </c>
      <c r="F76" s="464">
        <f>SUM(C76:E76)</f>
        <v>891.83</v>
      </c>
    </row>
    <row r="77" spans="1:6" ht="32.25" thickBot="1">
      <c r="A77" s="476"/>
      <c r="B77" s="477" t="s">
        <v>459</v>
      </c>
      <c r="C77" s="439">
        <f>C75-C76</f>
        <v>131.40000000000003</v>
      </c>
      <c r="D77" s="439">
        <f>D75-D76</f>
        <v>198.41000000000003</v>
      </c>
      <c r="E77" s="439">
        <f>E75-E76</f>
        <v>204.64</v>
      </c>
      <c r="F77" s="440">
        <f>SUM(C77:E77)</f>
        <v>534.45</v>
      </c>
    </row>
    <row r="78" spans="1:6" ht="16.5" thickBot="1">
      <c r="A78" s="478"/>
      <c r="B78" s="479"/>
      <c r="C78" s="480"/>
      <c r="D78" s="480"/>
      <c r="E78" s="480"/>
      <c r="F78" s="481"/>
    </row>
    <row r="79" spans="1:6" ht="15.75">
      <c r="A79" s="482"/>
      <c r="B79" s="453" t="s">
        <v>758</v>
      </c>
      <c r="C79" s="463"/>
      <c r="D79" s="463"/>
      <c r="E79" s="463"/>
      <c r="F79" s="464"/>
    </row>
    <row r="80" spans="1:6" ht="15.75">
      <c r="A80" s="433" t="s">
        <v>592</v>
      </c>
      <c r="B80" s="434" t="s">
        <v>460</v>
      </c>
      <c r="C80" s="483">
        <f>C14-C18+C25</f>
        <v>174.49</v>
      </c>
      <c r="D80" s="483">
        <f>D14-D18+D25</f>
        <v>133.24999999999997</v>
      </c>
      <c r="E80" s="483">
        <f>E14-E18+E25</f>
        <v>143.17000000000002</v>
      </c>
      <c r="F80" s="483">
        <f>F14-F18</f>
        <v>207.12000000000012</v>
      </c>
    </row>
    <row r="81" spans="1:6" ht="15.75">
      <c r="A81" s="433" t="s">
        <v>741</v>
      </c>
      <c r="B81" s="434" t="s">
        <v>461</v>
      </c>
      <c r="C81" s="483">
        <v>0</v>
      </c>
      <c r="D81" s="483">
        <v>0</v>
      </c>
      <c r="E81" s="483">
        <v>0</v>
      </c>
      <c r="F81" s="484">
        <v>0</v>
      </c>
    </row>
    <row r="82" spans="1:6" ht="16.5" thickBot="1">
      <c r="A82" s="437" t="s">
        <v>754</v>
      </c>
      <c r="B82" s="438" t="s">
        <v>462</v>
      </c>
      <c r="C82" s="485">
        <v>1.043</v>
      </c>
      <c r="D82" s="485">
        <v>1.043</v>
      </c>
      <c r="E82" s="485">
        <v>1.043</v>
      </c>
      <c r="F82" s="486"/>
    </row>
    <row r="83" spans="1:6" ht="15.75">
      <c r="A83" s="2"/>
      <c r="B83" s="2"/>
      <c r="C83" s="2"/>
      <c r="D83" s="2"/>
      <c r="E83" s="2"/>
      <c r="F83" s="2"/>
    </row>
    <row r="84" spans="1:6" ht="15.75">
      <c r="A84" s="2" t="s">
        <v>463</v>
      </c>
      <c r="B84" s="2"/>
      <c r="C84" s="5"/>
      <c r="D84" s="2"/>
      <c r="E84" s="2"/>
      <c r="F84" s="2"/>
    </row>
    <row r="85" spans="1:6" ht="15.75">
      <c r="A85" s="2"/>
      <c r="B85" s="487"/>
      <c r="C85" s="487"/>
      <c r="D85" s="487"/>
      <c r="E85" s="487"/>
      <c r="F85" s="487"/>
    </row>
    <row r="86" spans="1:6" ht="15.75">
      <c r="A86" s="2"/>
      <c r="B86" s="487"/>
      <c r="C86" s="487"/>
      <c r="D86" s="487"/>
      <c r="E86" s="487"/>
      <c r="F86" s="487"/>
    </row>
    <row r="87" spans="1:6" ht="15.75">
      <c r="A87" s="2"/>
      <c r="B87" s="487"/>
      <c r="C87" s="487"/>
      <c r="D87" s="487"/>
      <c r="E87" s="487"/>
      <c r="F87" s="487"/>
    </row>
  </sheetData>
  <mergeCells count="8">
    <mergeCell ref="D4:F4"/>
    <mergeCell ref="E5:F5"/>
    <mergeCell ref="A10:A12"/>
    <mergeCell ref="B10:B12"/>
    <mergeCell ref="C11:C12"/>
    <mergeCell ref="D11:D12"/>
    <mergeCell ref="E11:E12"/>
    <mergeCell ref="F11:F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F5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7.75390625" style="0" customWidth="1"/>
    <col min="2" max="2" width="50.25390625" style="0" customWidth="1"/>
    <col min="3" max="5" width="16.125" style="0" customWidth="1"/>
    <col min="6" max="6" width="13.50390625" style="0" customWidth="1"/>
  </cols>
  <sheetData>
    <row r="1" spans="1:6" ht="15.75">
      <c r="A1" s="488"/>
      <c r="B1" s="488"/>
      <c r="C1" s="488"/>
      <c r="D1" s="488"/>
      <c r="E1" s="488"/>
      <c r="F1" s="489" t="s">
        <v>464</v>
      </c>
    </row>
    <row r="2" spans="1:6" ht="15.75">
      <c r="A2" s="488"/>
      <c r="B2" s="488"/>
      <c r="C2" s="488"/>
      <c r="D2" s="488"/>
      <c r="E2" s="488"/>
      <c r="F2" s="489" t="s">
        <v>465</v>
      </c>
    </row>
    <row r="3" spans="1:6" ht="15.75">
      <c r="A3" s="488"/>
      <c r="B3" s="488"/>
      <c r="C3" s="488"/>
      <c r="D3" s="488"/>
      <c r="E3" s="488"/>
      <c r="F3" s="489" t="s">
        <v>466</v>
      </c>
    </row>
    <row r="4" spans="1:6" ht="15.75">
      <c r="A4" s="488"/>
      <c r="B4" s="488"/>
      <c r="C4" s="488"/>
      <c r="D4" s="488"/>
      <c r="E4" s="490"/>
      <c r="F4" s="489" t="s">
        <v>467</v>
      </c>
    </row>
    <row r="5" spans="1:6" ht="15.75">
      <c r="A5" s="488"/>
      <c r="B5" s="488"/>
      <c r="C5" s="488"/>
      <c r="D5" s="417"/>
      <c r="E5" s="417"/>
      <c r="F5" s="189"/>
    </row>
    <row r="6" spans="1:6" ht="31.5">
      <c r="A6" s="491" t="s">
        <v>468</v>
      </c>
      <c r="B6" s="491"/>
      <c r="C6" s="491"/>
      <c r="D6" s="418"/>
      <c r="E6" s="418"/>
      <c r="F6" s="419" t="s">
        <v>562</v>
      </c>
    </row>
    <row r="7" spans="1:6" ht="15.75">
      <c r="A7" s="492"/>
      <c r="B7" s="493"/>
      <c r="C7" s="493"/>
      <c r="D7" s="418"/>
      <c r="E7" s="418"/>
      <c r="F7" s="419" t="s">
        <v>769</v>
      </c>
    </row>
    <row r="8" spans="1:6" ht="15.75">
      <c r="A8" s="488"/>
      <c r="B8" s="488"/>
      <c r="C8" s="488"/>
      <c r="D8" s="626" t="s">
        <v>770</v>
      </c>
      <c r="E8" s="626"/>
      <c r="F8" s="626"/>
    </row>
    <row r="9" spans="1:6" ht="15.75">
      <c r="A9" s="488"/>
      <c r="B9" s="494" t="s">
        <v>469</v>
      </c>
      <c r="C9" s="488"/>
      <c r="D9" s="420"/>
      <c r="E9" s="627" t="s">
        <v>771</v>
      </c>
      <c r="F9" s="627"/>
    </row>
    <row r="10" spans="1:6" ht="15.75">
      <c r="A10" s="488"/>
      <c r="B10" s="494" t="s">
        <v>380</v>
      </c>
      <c r="C10" s="488"/>
      <c r="D10" s="418"/>
      <c r="E10" s="418"/>
      <c r="F10" s="419" t="s">
        <v>772</v>
      </c>
    </row>
    <row r="11" spans="1:6" ht="15.75">
      <c r="A11" s="488"/>
      <c r="B11" s="494" t="s">
        <v>470</v>
      </c>
      <c r="C11" s="488"/>
      <c r="D11" s="418"/>
      <c r="E11" s="418"/>
      <c r="F11" s="419" t="s">
        <v>567</v>
      </c>
    </row>
    <row r="12" spans="1:6" ht="15.75">
      <c r="A12" s="488"/>
      <c r="B12" s="494" t="s">
        <v>471</v>
      </c>
      <c r="C12" s="488"/>
      <c r="D12" s="488"/>
      <c r="E12" s="488"/>
      <c r="F12" s="488"/>
    </row>
    <row r="13" spans="1:6" ht="15.75">
      <c r="A13" s="488"/>
      <c r="B13" s="494" t="s">
        <v>472</v>
      </c>
      <c r="C13" s="488"/>
      <c r="D13" s="488"/>
      <c r="E13" s="488"/>
      <c r="F13" s="488"/>
    </row>
    <row r="14" spans="1:6" ht="15.75">
      <c r="A14" s="488"/>
      <c r="B14" s="488"/>
      <c r="C14" s="495"/>
      <c r="D14" s="495"/>
      <c r="E14" s="495"/>
      <c r="F14" s="495"/>
    </row>
    <row r="15" spans="1:6" ht="16.5" thickBot="1">
      <c r="A15" s="496"/>
      <c r="B15" s="497"/>
      <c r="C15" s="498"/>
      <c r="D15" s="498"/>
      <c r="E15" s="498"/>
      <c r="F15" s="498"/>
    </row>
    <row r="16" spans="1:6" ht="16.5" thickBot="1">
      <c r="A16" s="499" t="s">
        <v>473</v>
      </c>
      <c r="B16" s="500" t="s">
        <v>474</v>
      </c>
      <c r="C16" s="501" t="s">
        <v>475</v>
      </c>
      <c r="D16" s="501" t="s">
        <v>476</v>
      </c>
      <c r="E16" s="501" t="s">
        <v>477</v>
      </c>
      <c r="F16" s="499" t="s">
        <v>583</v>
      </c>
    </row>
    <row r="17" spans="1:6" ht="15.75">
      <c r="A17" s="502">
        <v>1</v>
      </c>
      <c r="B17" s="503" t="s">
        <v>478</v>
      </c>
      <c r="C17" s="504">
        <f>C18+C25+C29+C30+C32</f>
        <v>114.57999999999998</v>
      </c>
      <c r="D17" s="504">
        <f>D18+D25+D29+D30+D32</f>
        <v>123.55000000000001</v>
      </c>
      <c r="E17" s="504">
        <f>E18+E25+E29+E30+E32</f>
        <v>136.99</v>
      </c>
      <c r="F17" s="505">
        <f>C17+D17+E17</f>
        <v>375.12</v>
      </c>
    </row>
    <row r="18" spans="1:6" ht="15.75">
      <c r="A18" s="506" t="s">
        <v>594</v>
      </c>
      <c r="B18" s="507" t="s">
        <v>479</v>
      </c>
      <c r="C18" s="508">
        <f>C19+C20+C21+C22+C23</f>
        <v>38.01</v>
      </c>
      <c r="D18" s="508">
        <f>D19+D20+D21+D22+D23</f>
        <v>42.4</v>
      </c>
      <c r="E18" s="508">
        <f>E19+E20+E21+E22+E23</f>
        <v>50.92</v>
      </c>
      <c r="F18" s="509">
        <f>C18+D18+E18</f>
        <v>131.32999999999998</v>
      </c>
    </row>
    <row r="19" spans="1:6" ht="15.75">
      <c r="A19" s="506" t="s">
        <v>596</v>
      </c>
      <c r="B19" s="507" t="s">
        <v>480</v>
      </c>
      <c r="C19" s="508">
        <f>ROUND(32.21*1.18,2)</f>
        <v>38.01</v>
      </c>
      <c r="D19" s="508">
        <f>ROUND(35.93*1.18,2)</f>
        <v>42.4</v>
      </c>
      <c r="E19" s="508">
        <f>ROUND(43.15*1.18,2)</f>
        <v>50.92</v>
      </c>
      <c r="F19" s="509">
        <f>C19+D19+E19</f>
        <v>131.32999999999998</v>
      </c>
    </row>
    <row r="20" spans="1:6" ht="15.75">
      <c r="A20" s="506" t="s">
        <v>599</v>
      </c>
      <c r="B20" s="507" t="s">
        <v>481</v>
      </c>
      <c r="C20" s="508"/>
      <c r="D20" s="508"/>
      <c r="E20" s="510"/>
      <c r="F20" s="509"/>
    </row>
    <row r="21" spans="1:6" ht="31.5">
      <c r="A21" s="506" t="s">
        <v>600</v>
      </c>
      <c r="B21" s="507" t="s">
        <v>482</v>
      </c>
      <c r="C21" s="508"/>
      <c r="D21" s="508"/>
      <c r="E21" s="510"/>
      <c r="F21" s="511"/>
    </row>
    <row r="22" spans="1:6" ht="15.75">
      <c r="A22" s="506" t="s">
        <v>483</v>
      </c>
      <c r="B22" s="507" t="s">
        <v>484</v>
      </c>
      <c r="C22" s="508"/>
      <c r="D22" s="508"/>
      <c r="E22" s="510"/>
      <c r="F22" s="509"/>
    </row>
    <row r="23" spans="1:6" ht="31.5">
      <c r="A23" s="506" t="s">
        <v>485</v>
      </c>
      <c r="B23" s="507" t="s">
        <v>486</v>
      </c>
      <c r="C23" s="508"/>
      <c r="D23" s="508"/>
      <c r="E23" s="510"/>
      <c r="F23" s="509"/>
    </row>
    <row r="24" spans="1:6" ht="15.75">
      <c r="A24" s="506" t="s">
        <v>602</v>
      </c>
      <c r="B24" s="507" t="s">
        <v>487</v>
      </c>
      <c r="C24" s="508"/>
      <c r="D24" s="508"/>
      <c r="E24" s="510"/>
      <c r="F24" s="509"/>
    </row>
    <row r="25" spans="1:6" ht="15.75">
      <c r="A25" s="506" t="s">
        <v>735</v>
      </c>
      <c r="B25" s="507" t="s">
        <v>488</v>
      </c>
      <c r="C25" s="508">
        <f>C26+C27+C28</f>
        <v>76.57</v>
      </c>
      <c r="D25" s="508">
        <f>D26+D27+D28</f>
        <v>81.15</v>
      </c>
      <c r="E25" s="508">
        <f>E26+E27+E28</f>
        <v>86.07</v>
      </c>
      <c r="F25" s="509">
        <f>C25+D25+E25</f>
        <v>243.79</v>
      </c>
    </row>
    <row r="26" spans="1:6" ht="15.75">
      <c r="A26" s="506" t="s">
        <v>489</v>
      </c>
      <c r="B26" s="507" t="s">
        <v>490</v>
      </c>
      <c r="C26" s="508">
        <f>ROUND(64.89*1.18,2)</f>
        <v>76.57</v>
      </c>
      <c r="D26" s="508">
        <f>ROUND(68.77*1.18,2)</f>
        <v>81.15</v>
      </c>
      <c r="E26" s="508">
        <f>ROUND(72.94*1.18,2)</f>
        <v>86.07</v>
      </c>
      <c r="F26" s="509">
        <f>C26+D26+E26</f>
        <v>243.79</v>
      </c>
    </row>
    <row r="27" spans="1:6" ht="15.75">
      <c r="A27" s="506" t="s">
        <v>491</v>
      </c>
      <c r="B27" s="507" t="s">
        <v>492</v>
      </c>
      <c r="C27" s="508"/>
      <c r="D27" s="508"/>
      <c r="E27" s="510"/>
      <c r="F27" s="509"/>
    </row>
    <row r="28" spans="1:6" ht="15.75">
      <c r="A28" s="506" t="s">
        <v>493</v>
      </c>
      <c r="B28" s="507" t="s">
        <v>494</v>
      </c>
      <c r="C28" s="508"/>
      <c r="D28" s="508"/>
      <c r="E28" s="510"/>
      <c r="F28" s="509"/>
    </row>
    <row r="29" spans="1:6" ht="15.75">
      <c r="A29" s="506" t="s">
        <v>737</v>
      </c>
      <c r="B29" s="507" t="s">
        <v>495</v>
      </c>
      <c r="C29" s="508">
        <v>0</v>
      </c>
      <c r="D29" s="508">
        <v>0</v>
      </c>
      <c r="E29" s="508">
        <v>0</v>
      </c>
      <c r="F29" s="509">
        <f>C29+D29+E29</f>
        <v>0</v>
      </c>
    </row>
    <row r="30" spans="1:6" ht="15.75">
      <c r="A30" s="506" t="s">
        <v>739</v>
      </c>
      <c r="B30" s="507" t="s">
        <v>496</v>
      </c>
      <c r="C30" s="508"/>
      <c r="D30" s="508"/>
      <c r="E30" s="510"/>
      <c r="F30" s="509"/>
    </row>
    <row r="31" spans="1:6" ht="15.75">
      <c r="A31" s="506" t="s">
        <v>497</v>
      </c>
      <c r="B31" s="507" t="s">
        <v>498</v>
      </c>
      <c r="C31" s="508"/>
      <c r="D31" s="508"/>
      <c r="E31" s="510"/>
      <c r="F31" s="509"/>
    </row>
    <row r="32" spans="1:6" ht="15.75">
      <c r="A32" s="506" t="s">
        <v>852</v>
      </c>
      <c r="B32" s="507" t="s">
        <v>499</v>
      </c>
      <c r="C32" s="508"/>
      <c r="D32" s="508"/>
      <c r="E32" s="508"/>
      <c r="F32" s="509"/>
    </row>
    <row r="33" spans="1:6" ht="15.75">
      <c r="A33" s="512" t="s">
        <v>741</v>
      </c>
      <c r="B33" s="503" t="s">
        <v>500</v>
      </c>
      <c r="C33" s="513">
        <v>0</v>
      </c>
      <c r="D33" s="513">
        <v>0</v>
      </c>
      <c r="E33" s="513">
        <v>0</v>
      </c>
      <c r="F33" s="505">
        <f>C33+D33+E33</f>
        <v>0</v>
      </c>
    </row>
    <row r="34" spans="1:6" ht="15.75">
      <c r="A34" s="506" t="s">
        <v>743</v>
      </c>
      <c r="B34" s="507" t="s">
        <v>501</v>
      </c>
      <c r="C34" s="508"/>
      <c r="D34" s="508"/>
      <c r="E34" s="510"/>
      <c r="F34" s="509"/>
    </row>
    <row r="35" spans="1:6" ht="15.75">
      <c r="A35" s="506" t="s">
        <v>746</v>
      </c>
      <c r="B35" s="507" t="s">
        <v>502</v>
      </c>
      <c r="C35" s="508"/>
      <c r="D35" s="508"/>
      <c r="E35" s="510"/>
      <c r="F35" s="509"/>
    </row>
    <row r="36" spans="1:6" ht="15.75">
      <c r="A36" s="514" t="s">
        <v>141</v>
      </c>
      <c r="B36" s="507" t="s">
        <v>503</v>
      </c>
      <c r="C36" s="508"/>
      <c r="D36" s="508"/>
      <c r="E36" s="510"/>
      <c r="F36" s="509"/>
    </row>
    <row r="37" spans="1:6" ht="15.75">
      <c r="A37" s="514" t="s">
        <v>504</v>
      </c>
      <c r="B37" s="507" t="s">
        <v>505</v>
      </c>
      <c r="C37" s="508"/>
      <c r="D37" s="508"/>
      <c r="E37" s="510"/>
      <c r="F37" s="509"/>
    </row>
    <row r="38" spans="1:6" ht="15.75">
      <c r="A38" s="506" t="s">
        <v>506</v>
      </c>
      <c r="B38" s="507" t="s">
        <v>507</v>
      </c>
      <c r="C38" s="508"/>
      <c r="D38" s="508"/>
      <c r="E38" s="510"/>
      <c r="F38" s="509"/>
    </row>
    <row r="39" spans="1:6" ht="15.75">
      <c r="A39" s="515" t="s">
        <v>508</v>
      </c>
      <c r="B39" s="516" t="s">
        <v>509</v>
      </c>
      <c r="C39" s="508"/>
      <c r="D39" s="508"/>
      <c r="E39" s="510"/>
      <c r="F39" s="509"/>
    </row>
    <row r="40" spans="1:6" ht="16.5" thickBot="1">
      <c r="A40" s="517" t="s">
        <v>510</v>
      </c>
      <c r="B40" s="518" t="s">
        <v>511</v>
      </c>
      <c r="C40" s="519"/>
      <c r="D40" s="519"/>
      <c r="E40" s="520"/>
      <c r="F40" s="521"/>
    </row>
    <row r="41" spans="1:6" ht="15.75">
      <c r="A41" s="522"/>
      <c r="B41" s="523" t="s">
        <v>512</v>
      </c>
      <c r="C41" s="524">
        <f>C17+C33</f>
        <v>114.57999999999998</v>
      </c>
      <c r="D41" s="524">
        <f>D17+D33</f>
        <v>123.55000000000001</v>
      </c>
      <c r="E41" s="524">
        <f>E17+E33</f>
        <v>136.99</v>
      </c>
      <c r="F41" s="525">
        <f>C41+D41+E41</f>
        <v>375.12</v>
      </c>
    </row>
    <row r="42" spans="1:6" ht="15.75">
      <c r="A42" s="526"/>
      <c r="B42" s="527" t="s">
        <v>513</v>
      </c>
      <c r="C42" s="528"/>
      <c r="D42" s="528"/>
      <c r="E42" s="529"/>
      <c r="F42" s="530"/>
    </row>
    <row r="43" spans="1:6" ht="15.75">
      <c r="A43" s="526"/>
      <c r="B43" s="531" t="s">
        <v>514</v>
      </c>
      <c r="C43" s="528"/>
      <c r="D43" s="528"/>
      <c r="E43" s="529"/>
      <c r="F43" s="530"/>
    </row>
    <row r="44" spans="1:6" ht="16.5" thickBot="1">
      <c r="A44" s="532"/>
      <c r="B44" s="533" t="s">
        <v>515</v>
      </c>
      <c r="C44" s="534"/>
      <c r="D44" s="534"/>
      <c r="E44" s="535"/>
      <c r="F44" s="536"/>
    </row>
    <row r="45" spans="1:6" ht="15.75">
      <c r="A45" s="537"/>
      <c r="B45" s="538"/>
      <c r="C45" s="537"/>
      <c r="D45" s="537"/>
      <c r="E45" s="537"/>
      <c r="F45" s="537"/>
    </row>
    <row r="46" spans="1:6" ht="15.75">
      <c r="A46" s="539"/>
      <c r="B46" s="539"/>
      <c r="C46" s="539"/>
      <c r="D46" s="539"/>
      <c r="E46" s="539"/>
      <c r="F46" s="539"/>
    </row>
    <row r="47" spans="1:6" ht="15.75">
      <c r="A47" s="540"/>
      <c r="B47" s="540"/>
      <c r="C47" s="540">
        <v>66.044696</v>
      </c>
      <c r="D47" s="540">
        <v>66.281769</v>
      </c>
      <c r="E47" s="540">
        <v>60.533325</v>
      </c>
      <c r="F47" s="540">
        <v>192.85979</v>
      </c>
    </row>
    <row r="48" spans="1:6" ht="15.75">
      <c r="A48" s="541"/>
      <c r="B48" s="542" t="s">
        <v>516</v>
      </c>
      <c r="C48" s="543">
        <f>C47-5.826309</f>
        <v>60.218387</v>
      </c>
      <c r="D48" s="543">
        <f>D47-4.213127</f>
        <v>62.068642</v>
      </c>
      <c r="E48" s="543">
        <f>E47-7.173085</f>
        <v>53.36024</v>
      </c>
      <c r="F48" s="543">
        <f>C48+D48+E48</f>
        <v>175.647269</v>
      </c>
    </row>
    <row r="49" spans="1:6" ht="15.75">
      <c r="A49" s="541"/>
      <c r="B49" s="544" t="s">
        <v>517</v>
      </c>
      <c r="C49" s="545">
        <f>C48*0.18</f>
        <v>10.83930966</v>
      </c>
      <c r="D49" s="545">
        <f>D48*0.18</f>
        <v>11.17235556</v>
      </c>
      <c r="E49" s="545">
        <f>E48*0.18</f>
        <v>9.6048432</v>
      </c>
      <c r="F49" s="543">
        <f>C49+D49+E49</f>
        <v>31.616508419999995</v>
      </c>
    </row>
    <row r="50" spans="1:6" ht="15.75">
      <c r="A50" s="541"/>
      <c r="B50" s="544" t="s">
        <v>518</v>
      </c>
      <c r="C50" s="545">
        <f>C48-C49</f>
        <v>49.37907734</v>
      </c>
      <c r="D50" s="545">
        <f>D48-D49</f>
        <v>50.89628644</v>
      </c>
      <c r="E50" s="545">
        <f>E48-E49</f>
        <v>43.7553968</v>
      </c>
      <c r="F50" s="543">
        <f>C50+D50+E50</f>
        <v>144.03076058</v>
      </c>
    </row>
    <row r="51" spans="1:6" ht="15.75">
      <c r="A51" s="546"/>
      <c r="B51" s="546"/>
      <c r="C51" s="546"/>
      <c r="D51" s="546"/>
      <c r="E51" s="546"/>
      <c r="F51" s="546"/>
    </row>
  </sheetData>
  <mergeCells count="2">
    <mergeCell ref="D8:F8"/>
    <mergeCell ref="E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ЕментянНА</cp:lastModifiedBy>
  <cp:lastPrinted>2016-04-20T09:27:42Z</cp:lastPrinted>
  <dcterms:created xsi:type="dcterms:W3CDTF">2016-04-19T04:29:11Z</dcterms:created>
  <dcterms:modified xsi:type="dcterms:W3CDTF">2016-04-21T09:47:37Z</dcterms:modified>
  <cp:category/>
  <cp:version/>
  <cp:contentType/>
  <cp:contentStatus/>
</cp:coreProperties>
</file>